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theme/themeOverride1.xml" ContentType="application/vnd.openxmlformats-officedocument.themeOverride+xml"/>
  <Override PartName="/xl/pivotTables/pivotTable1.xml" ContentType="application/vnd.openxmlformats-officedocument.spreadsheetml.pivotTable+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2.xml" ContentType="application/vnd.openxmlformats-officedocument.spreadsheetml.pivotTab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hidePivotFieldList="1" defaultThemeVersion="124226"/>
  <mc:AlternateContent xmlns:mc="http://schemas.openxmlformats.org/markup-compatibility/2006">
    <mc:Choice Requires="x15">
      <x15ac:absPath xmlns:x15ac="http://schemas.microsoft.com/office/spreadsheetml/2010/11/ac" url="https://longmontcolorado-my.sharepoint.com/personal/scott_yoho_longmontcolorado_gov/Documents/Desktop/Deb Callies March 2023/Pieces Deb Wants to Publish/Final from Ian/"/>
    </mc:Choice>
  </mc:AlternateContent>
  <xr:revisionPtr revIDLastSave="640" documentId="8_{258E9706-CC2C-48A4-8A6C-1EC34C443DCF}" xr6:coauthVersionLast="47" xr6:coauthVersionMax="47" xr10:uidLastSave="{24037931-EB40-4661-A158-43E0C4B87A99}"/>
  <bookViews>
    <workbookView xWindow="-120" yWindow="-120" windowWidth="29040" windowHeight="15840" tabRatio="899" firstSheet="4" activeTab="8" xr2:uid="{00000000-000D-0000-FFFF-FFFF00000000}"/>
  </bookViews>
  <sheets>
    <sheet name="CDBG" sheetId="1" r:id="rId1"/>
    <sheet name="CDBG-CV" sheetId="29" r:id="rId2"/>
    <sheet name="HOME" sheetId="5" r:id="rId3"/>
    <sheet name="AHF" sheetId="6" r:id="rId4"/>
    <sheet name="ALL Graphs One Page" sheetId="26" r:id="rId5"/>
    <sheet name="CDBG Avail-Comm-Exp" sheetId="2" r:id="rId6"/>
    <sheet name="CDBG-Budget-Total" sheetId="3" r:id="rId7"/>
    <sheet name="LMI Benefit Combined" sheetId="35" r:id="rId8"/>
    <sheet name="Beneficiary Data Combined" sheetId="34" r:id="rId9"/>
    <sheet name="CDBG-Expenditures" sheetId="4" r:id="rId10"/>
  </sheets>
  <externalReferences>
    <externalReference r:id="rId11"/>
  </externalReferences>
  <definedNames>
    <definedName name="_xlnm.Print_Area" localSheetId="3">AHF!$A$1:$Q$40</definedName>
    <definedName name="_xlnm.Print_Area" localSheetId="0">CDBG!$A$1:$Q$49</definedName>
    <definedName name="_xlnm.Print_Area" localSheetId="5">'CDBG Avail-Comm-Exp'!$A$1:$N$29</definedName>
    <definedName name="_xlnm.Print_Area" localSheetId="6">'CDBG-Budget-Total'!$A$4:$O$49</definedName>
    <definedName name="_xlnm.Print_Area" localSheetId="1">'CDBG-CV'!$A$1:$R$39</definedName>
    <definedName name="_xlnm.Print_Area" localSheetId="2">HOME!$A$1:$P$21</definedName>
    <definedName name="_xlnm.Print_Titles" localSheetId="0">CDBG!$3:$3</definedName>
    <definedName name="_xlnm.Print_Titles" localSheetId="1">'CDBG-CV'!$3:$3</definedName>
    <definedName name="_xlnm.Print_Titles" localSheetId="2">HOME!$1:$3</definedName>
    <definedName name="PROJECT">'[1]Budget Accounts'!$A$1:$A$65536</definedName>
    <definedName name="TYPE">'[1]Other Lists'!$A$1:$A$65536</definedName>
    <definedName name="Z_85EA0921_5222_4866_B2A4_73FDFFB38684_.wvu.PrintArea" localSheetId="3" hidden="1">AHF!$A$1:$P$45</definedName>
    <definedName name="Z_85EA0921_5222_4866_B2A4_73FDFFB38684_.wvu.PrintArea" localSheetId="0" hidden="1">CDBG!$A$3:$Q$78</definedName>
    <definedName name="Z_85EA0921_5222_4866_B2A4_73FDFFB38684_.wvu.PrintArea" localSheetId="1" hidden="1">'CDBG-CV'!$A$3:$R$46</definedName>
    <definedName name="Z_85EA0921_5222_4866_B2A4_73FDFFB38684_.wvu.PrintArea" localSheetId="2" hidden="1">HOME!$A$1:$P$26</definedName>
    <definedName name="Z_85EA0921_5222_4866_B2A4_73FDFFB38684_.wvu.PrintTitles" localSheetId="0" hidden="1">CDBG!$3:$3</definedName>
    <definedName name="Z_85EA0921_5222_4866_B2A4_73FDFFB38684_.wvu.PrintTitles" localSheetId="1" hidden="1">'CDBG-CV'!$3:$3</definedName>
    <definedName name="Z_85EA0921_5222_4866_B2A4_73FDFFB38684_.wvu.PrintTitles" localSheetId="2" hidden="1">HOME!$1:$3</definedName>
    <definedName name="Z_94B3A4FE_72AA_482F_B8FA_1CCA2BB7CF1A_.wvu.PrintArea" localSheetId="3" hidden="1">AHF!$A$1:$P$45</definedName>
    <definedName name="Z_94B3A4FE_72AA_482F_B8FA_1CCA2BB7CF1A_.wvu.PrintArea" localSheetId="0" hidden="1">CDBG!$A$3:$Q$78</definedName>
    <definedName name="Z_94B3A4FE_72AA_482F_B8FA_1CCA2BB7CF1A_.wvu.PrintArea" localSheetId="1" hidden="1">'CDBG-CV'!$A$3:$R$46</definedName>
    <definedName name="Z_94B3A4FE_72AA_482F_B8FA_1CCA2BB7CF1A_.wvu.PrintArea" localSheetId="2" hidden="1">HOME!$A$1:$P$26</definedName>
    <definedName name="Z_94B3A4FE_72AA_482F_B8FA_1CCA2BB7CF1A_.wvu.PrintTitles" localSheetId="0" hidden="1">CDBG!$3:$3</definedName>
    <definedName name="Z_94B3A4FE_72AA_482F_B8FA_1CCA2BB7CF1A_.wvu.PrintTitles" localSheetId="1" hidden="1">'CDBG-CV'!$3:$3</definedName>
    <definedName name="Z_94B3A4FE_72AA_482F_B8FA_1CCA2BB7CF1A_.wvu.PrintTitles" localSheetId="2" hidden="1">HOME!$1:$3</definedName>
    <definedName name="Z_D6BA1E63_924C_47BE_9055_D8E8929EA3B0_.wvu.PrintArea" localSheetId="3" hidden="1">AHF!$A$1:$P$45</definedName>
    <definedName name="Z_D6BA1E63_924C_47BE_9055_D8E8929EA3B0_.wvu.PrintArea" localSheetId="0" hidden="1">CDBG!$A$3:$Q$78</definedName>
    <definedName name="Z_D6BA1E63_924C_47BE_9055_D8E8929EA3B0_.wvu.PrintArea" localSheetId="1" hidden="1">'CDBG-CV'!$A$3:$R$46</definedName>
    <definedName name="Z_D6BA1E63_924C_47BE_9055_D8E8929EA3B0_.wvu.PrintArea" localSheetId="2" hidden="1">HOME!$A$1:$P$26</definedName>
    <definedName name="Z_D6BA1E63_924C_47BE_9055_D8E8929EA3B0_.wvu.PrintTitles" localSheetId="0" hidden="1">CDBG!$3:$3</definedName>
    <definedName name="Z_D6BA1E63_924C_47BE_9055_D8E8929EA3B0_.wvu.PrintTitles" localSheetId="1" hidden="1">'CDBG-CV'!$3:$3</definedName>
    <definedName name="Z_D6BA1E63_924C_47BE_9055_D8E8929EA3B0_.wvu.PrintTitles" localSheetId="2" hidden="1">HOME!$1:$3</definedName>
  </definedNames>
  <calcPr calcId="191028"/>
  <customWorkbookViews>
    <customWorkbookView name="Kathy Fedler - Personal View" guid="{94B3A4FE-72AA-482F-B8FA-1CCA2BB7CF1A}" mergeInterval="0" personalView="1" maximized="1" windowWidth="1920" windowHeight="855" tabRatio="856" activeSheetId="1"/>
    <customWorkbookView name="Tracy Defrancesco - Personal View" guid="{D6BA1E63-924C-47BE-9055-D8E8929EA3B0}" mergeInterval="0" personalView="1" maximized="1" windowWidth="1920" windowHeight="959" tabRatio="856" activeSheetId="1" showFormulaBar="0" showComments="commIndAndComment"/>
    <customWorkbookView name="Kyndra Daniels - Personal View" guid="{85EA0921-5222-4866-B2A4-73FDFFB38684}" mergeInterval="0" personalView="1" maximized="1" windowWidth="1920" windowHeight="855" tabRatio="856" activeSheetId="1"/>
  </customWorkbookViews>
  <pivotCaches>
    <pivotCache cacheId="0" r:id="rId12"/>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1" l="1"/>
  <c r="D41" i="1"/>
  <c r="C36" i="1" l="1"/>
  <c r="D20" i="6" l="1"/>
  <c r="Q15" i="29" l="1"/>
  <c r="P15" i="29"/>
  <c r="N15" i="29"/>
  <c r="M15" i="29"/>
  <c r="L15" i="29"/>
  <c r="K15" i="29"/>
  <c r="J15" i="29"/>
  <c r="I15" i="29"/>
  <c r="H15" i="29"/>
  <c r="G15" i="29"/>
  <c r="Q23" i="1" l="1"/>
  <c r="P23" i="1"/>
  <c r="N23" i="1"/>
  <c r="M23" i="1"/>
  <c r="L23" i="1"/>
  <c r="K23" i="1"/>
  <c r="D3" i="35" s="1"/>
  <c r="J23" i="1"/>
  <c r="C3" i="35" s="1"/>
  <c r="I23" i="1"/>
  <c r="B3" i="35" s="1"/>
  <c r="H23" i="1"/>
  <c r="A3" i="35" s="1"/>
  <c r="G23" i="1"/>
  <c r="C19" i="1" l="1"/>
  <c r="D25" i="6" l="1"/>
  <c r="E24" i="6"/>
  <c r="E23" i="6"/>
  <c r="C22" i="6"/>
  <c r="C20" i="6"/>
  <c r="D11" i="6"/>
  <c r="C7" i="6"/>
  <c r="C6" i="6"/>
  <c r="C5" i="6"/>
  <c r="C38" i="29"/>
  <c r="B91" i="1"/>
  <c r="B90" i="1"/>
  <c r="C22" i="29" l="1"/>
  <c r="E17" i="6"/>
  <c r="D15" i="29" l="1"/>
  <c r="C14" i="29" l="1"/>
  <c r="F23" i="1" l="1"/>
  <c r="D23" i="1" l="1"/>
  <c r="C14" i="1" l="1"/>
  <c r="C30" i="1"/>
  <c r="C13" i="1"/>
  <c r="F25" i="6" l="1"/>
  <c r="C43" i="6"/>
  <c r="E22" i="6"/>
  <c r="E21" i="6"/>
  <c r="C25" i="6"/>
  <c r="B43" i="6" s="1"/>
  <c r="F18" i="6"/>
  <c r="D18" i="6"/>
  <c r="C42" i="6" s="1"/>
  <c r="C18" i="6"/>
  <c r="B42" i="6" s="1"/>
  <c r="E16" i="6"/>
  <c r="E15" i="6"/>
  <c r="E14" i="6"/>
  <c r="E13" i="6"/>
  <c r="E18" i="6" s="1"/>
  <c r="F11" i="6"/>
  <c r="C11" i="6"/>
  <c r="E10" i="6"/>
  <c r="E9" i="6"/>
  <c r="E8" i="6"/>
  <c r="E7" i="6"/>
  <c r="E6" i="6"/>
  <c r="E5" i="6"/>
  <c r="C25" i="5"/>
  <c r="C24" i="5"/>
  <c r="F24" i="5" s="1"/>
  <c r="F25" i="5" s="1"/>
  <c r="E11" i="5"/>
  <c r="E14" i="5" s="1"/>
  <c r="D11" i="5"/>
  <c r="D14" i="5" s="1"/>
  <c r="P7" i="5"/>
  <c r="O7" i="5"/>
  <c r="N7" i="5"/>
  <c r="M7" i="5"/>
  <c r="L7" i="5"/>
  <c r="K7" i="5"/>
  <c r="J7" i="5"/>
  <c r="I7" i="5"/>
  <c r="H7" i="5"/>
  <c r="G7" i="5"/>
  <c r="F7" i="5"/>
  <c r="E7" i="5"/>
  <c r="D7" i="5"/>
  <c r="B74" i="29"/>
  <c r="B73" i="29"/>
  <c r="B72" i="29"/>
  <c r="B70" i="29"/>
  <c r="B69" i="29"/>
  <c r="B68" i="29"/>
  <c r="B67" i="29"/>
  <c r="B66" i="29"/>
  <c r="C66" i="29" s="1"/>
  <c r="B65" i="29"/>
  <c r="C65" i="29" s="1"/>
  <c r="B64" i="29"/>
  <c r="C64" i="29" s="1"/>
  <c r="B63" i="29"/>
  <c r="B58" i="29"/>
  <c r="B77" i="29" s="1"/>
  <c r="B57" i="29"/>
  <c r="B56" i="29"/>
  <c r="B52" i="29"/>
  <c r="B59" i="29" s="1"/>
  <c r="M47" i="29"/>
  <c r="M48" i="29" s="1"/>
  <c r="L47" i="29"/>
  <c r="L48" i="29" s="1"/>
  <c r="J37" i="29"/>
  <c r="J39" i="29" s="1"/>
  <c r="D23" i="29"/>
  <c r="C43" i="29" s="1"/>
  <c r="C23" i="29"/>
  <c r="B43" i="29" s="1"/>
  <c r="E22" i="29"/>
  <c r="Q19" i="29"/>
  <c r="P19" i="29"/>
  <c r="O19" i="29"/>
  <c r="N19" i="29"/>
  <c r="M19" i="29"/>
  <c r="L19" i="29"/>
  <c r="K19" i="29"/>
  <c r="J19" i="29"/>
  <c r="I19" i="29"/>
  <c r="H19" i="29"/>
  <c r="G19" i="29"/>
  <c r="F19" i="29"/>
  <c r="D19" i="29"/>
  <c r="C19" i="29"/>
  <c r="O15" i="29"/>
  <c r="F15" i="29"/>
  <c r="C42" i="29"/>
  <c r="C15" i="29"/>
  <c r="B42" i="29" s="1"/>
  <c r="E14" i="29"/>
  <c r="E13" i="29"/>
  <c r="N10" i="29"/>
  <c r="M10" i="29"/>
  <c r="L10" i="29"/>
  <c r="K10" i="29"/>
  <c r="K25" i="29" s="1"/>
  <c r="J10" i="29"/>
  <c r="I10" i="29"/>
  <c r="H10" i="29"/>
  <c r="G10" i="29"/>
  <c r="F10" i="29"/>
  <c r="D10" i="29"/>
  <c r="C10" i="29"/>
  <c r="Q6" i="29"/>
  <c r="Q25" i="29" s="1"/>
  <c r="P6" i="29"/>
  <c r="P25" i="29" s="1"/>
  <c r="O6" i="29"/>
  <c r="N6" i="29"/>
  <c r="M6" i="29"/>
  <c r="L6" i="29"/>
  <c r="K6" i="29"/>
  <c r="J6" i="29"/>
  <c r="I6" i="29"/>
  <c r="H6" i="29"/>
  <c r="G6" i="29"/>
  <c r="F6" i="29"/>
  <c r="F29" i="29" s="1"/>
  <c r="D6" i="29"/>
  <c r="C6" i="29"/>
  <c r="B82" i="1"/>
  <c r="B81" i="1"/>
  <c r="B80" i="1"/>
  <c r="B65" i="1"/>
  <c r="B60" i="1"/>
  <c r="E58" i="1"/>
  <c r="E57" i="1"/>
  <c r="E61" i="1" s="1"/>
  <c r="B53" i="1"/>
  <c r="B83" i="1" s="1"/>
  <c r="F45" i="1"/>
  <c r="E36" i="1"/>
  <c r="D32" i="1"/>
  <c r="C52" i="1" s="1"/>
  <c r="C32" i="1"/>
  <c r="B52" i="1" s="1"/>
  <c r="Q27" i="1"/>
  <c r="P27" i="1"/>
  <c r="O27" i="1"/>
  <c r="N27" i="1"/>
  <c r="M27" i="1"/>
  <c r="L27" i="1"/>
  <c r="K27" i="1"/>
  <c r="J27" i="1"/>
  <c r="I27" i="1"/>
  <c r="H27" i="1"/>
  <c r="G27" i="1"/>
  <c r="F27" i="1"/>
  <c r="D27" i="1"/>
  <c r="C27" i="1"/>
  <c r="O23" i="1"/>
  <c r="O34" i="1" s="1"/>
  <c r="N34" i="1"/>
  <c r="G34" i="1"/>
  <c r="F34" i="1"/>
  <c r="C23" i="1"/>
  <c r="E22" i="1"/>
  <c r="E21" i="1"/>
  <c r="E20" i="1"/>
  <c r="E19" i="1"/>
  <c r="E18" i="1"/>
  <c r="E17" i="1"/>
  <c r="E16" i="1"/>
  <c r="E15" i="1"/>
  <c r="E14" i="1"/>
  <c r="E13" i="1"/>
  <c r="N10" i="1"/>
  <c r="M10" i="1"/>
  <c r="M34" i="1" s="1"/>
  <c r="L10" i="1"/>
  <c r="K10" i="1"/>
  <c r="J10" i="1"/>
  <c r="I10" i="1"/>
  <c r="H10" i="1"/>
  <c r="G10" i="1"/>
  <c r="F10" i="1"/>
  <c r="D10" i="1"/>
  <c r="C10" i="1"/>
  <c r="Q6" i="1"/>
  <c r="Q34" i="1" s="1"/>
  <c r="P6" i="1"/>
  <c r="P34" i="1" s="1"/>
  <c r="O6" i="1"/>
  <c r="N6" i="1"/>
  <c r="M6" i="1"/>
  <c r="L6" i="1"/>
  <c r="L38" i="1" s="1"/>
  <c r="A2" i="34" s="1"/>
  <c r="K6" i="1"/>
  <c r="K38" i="1" s="1"/>
  <c r="B78" i="1" s="1"/>
  <c r="J6" i="1"/>
  <c r="J34" i="1" s="1"/>
  <c r="I6" i="1"/>
  <c r="I34" i="1" s="1"/>
  <c r="H6" i="1"/>
  <c r="H34" i="1" s="1"/>
  <c r="G6" i="1"/>
  <c r="F6" i="1"/>
  <c r="D6" i="1"/>
  <c r="C6" i="1"/>
  <c r="D17" i="5" l="1"/>
  <c r="D18" i="5"/>
  <c r="I29" i="29"/>
  <c r="D34" i="1"/>
  <c r="B24" i="5"/>
  <c r="F28" i="6"/>
  <c r="C47" i="1"/>
  <c r="E11" i="6"/>
  <c r="J29" i="29"/>
  <c r="L29" i="29"/>
  <c r="N25" i="29"/>
  <c r="M29" i="29"/>
  <c r="N48" i="29"/>
  <c r="N50" i="29" s="1"/>
  <c r="C68" i="29"/>
  <c r="C67" i="29"/>
  <c r="C69" i="29"/>
  <c r="B53" i="29"/>
  <c r="D43" i="6"/>
  <c r="C28" i="6"/>
  <c r="E20" i="6"/>
  <c r="E25" i="6" s="1"/>
  <c r="E28" i="6" s="1"/>
  <c r="C44" i="6"/>
  <c r="G43" i="6" s="1"/>
  <c r="D28" i="6"/>
  <c r="C35" i="6" s="1"/>
  <c r="D42" i="6"/>
  <c r="B44" i="6"/>
  <c r="F42" i="6" s="1"/>
  <c r="B81" i="29"/>
  <c r="B78" i="29"/>
  <c r="K29" i="29"/>
  <c r="F25" i="29"/>
  <c r="Q29" i="29"/>
  <c r="G29" i="29"/>
  <c r="H29" i="29"/>
  <c r="P29" i="29"/>
  <c r="I25" i="29"/>
  <c r="N29" i="29"/>
  <c r="O25" i="29"/>
  <c r="E15" i="29"/>
  <c r="J25" i="29"/>
  <c r="O29" i="29"/>
  <c r="M25" i="29"/>
  <c r="L25" i="29"/>
  <c r="H25" i="29"/>
  <c r="G25" i="29"/>
  <c r="D43" i="29"/>
  <c r="E23" i="29"/>
  <c r="D29" i="29"/>
  <c r="C45" i="29"/>
  <c r="G43" i="29" s="1"/>
  <c r="D25" i="29"/>
  <c r="D42" i="29"/>
  <c r="B45" i="29"/>
  <c r="C29" i="29"/>
  <c r="C25" i="29"/>
  <c r="M38" i="1"/>
  <c r="B2" i="34" s="1"/>
  <c r="D52" i="1"/>
  <c r="C51" i="1"/>
  <c r="C54" i="1" s="1"/>
  <c r="F52" i="1" s="1"/>
  <c r="D38" i="1"/>
  <c r="F38" i="1"/>
  <c r="K34" i="1"/>
  <c r="G38" i="1"/>
  <c r="B71" i="1" s="1"/>
  <c r="L34" i="1"/>
  <c r="N38" i="1"/>
  <c r="C2" i="34" s="1"/>
  <c r="O38" i="1"/>
  <c r="D2" i="34" s="1"/>
  <c r="H38" i="1"/>
  <c r="B75" i="1" s="1"/>
  <c r="P38" i="1"/>
  <c r="I38" i="1"/>
  <c r="B76" i="1" s="1"/>
  <c r="Q38" i="1"/>
  <c r="J38" i="1"/>
  <c r="B77" i="1" s="1"/>
  <c r="C34" i="1"/>
  <c r="B64" i="1" s="1"/>
  <c r="B92" i="1"/>
  <c r="B84" i="1"/>
  <c r="D53" i="1"/>
  <c r="E23" i="1"/>
  <c r="E38" i="1" s="1"/>
  <c r="C38" i="1"/>
  <c r="B51" i="1"/>
  <c r="B25" i="5" l="1"/>
  <c r="D25" i="5" s="1"/>
  <c r="D24" i="5"/>
  <c r="B73" i="1"/>
  <c r="F2" i="34"/>
  <c r="B74" i="1"/>
  <c r="E2" i="34"/>
  <c r="G42" i="6"/>
  <c r="G44" i="6" s="1"/>
  <c r="C37" i="6"/>
  <c r="C36" i="6"/>
  <c r="F43" i="6"/>
  <c r="F44" i="6" s="1"/>
  <c r="D44" i="6"/>
  <c r="E25" i="29"/>
  <c r="C32" i="29"/>
  <c r="D32" i="29" s="1"/>
  <c r="C39" i="29" s="1"/>
  <c r="C37" i="29"/>
  <c r="G42" i="29"/>
  <c r="G45" i="29" s="1"/>
  <c r="E29" i="29"/>
  <c r="C36" i="29"/>
  <c r="B75" i="29"/>
  <c r="F43" i="29"/>
  <c r="F42" i="29"/>
  <c r="C41" i="1"/>
  <c r="E62" i="1"/>
  <c r="E63" i="1" s="1"/>
  <c r="C77" i="1"/>
  <c r="C76" i="1"/>
  <c r="D71" i="1"/>
  <c r="C73" i="1" s="1"/>
  <c r="B66" i="1"/>
  <c r="B67" i="1" s="1"/>
  <c r="F51" i="1"/>
  <c r="F53" i="1"/>
  <c r="C46" i="1"/>
  <c r="C75" i="1"/>
  <c r="B72" i="1"/>
  <c r="E34" i="1"/>
  <c r="D51" i="1"/>
  <c r="B54" i="1"/>
  <c r="C45" i="1"/>
  <c r="B61" i="1"/>
  <c r="I48" i="1"/>
  <c r="I50" i="1" l="1"/>
  <c r="C43" i="1"/>
  <c r="C48" i="1" s="1"/>
  <c r="E24" i="5"/>
  <c r="E25" i="5" s="1"/>
  <c r="F45" i="29"/>
  <c r="B84" i="29"/>
  <c r="B85" i="29" s="1"/>
  <c r="B76" i="29"/>
  <c r="C72" i="1"/>
  <c r="C74" i="1"/>
  <c r="B85" i="1"/>
  <c r="F54" i="1"/>
  <c r="B89" i="1"/>
  <c r="B93" i="1" s="1"/>
  <c r="B86" i="1"/>
  <c r="E52" i="1"/>
  <c r="E53" i="1"/>
  <c r="E51" i="1"/>
  <c r="E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Kyndra Daniels</author>
    <author>Fredda Martinez</author>
  </authors>
  <commentList>
    <comment ref="F3" authorId="0" shapeId="0" xr:uid="{00000000-0006-0000-0000-000001000000}">
      <text>
        <r>
          <rPr>
            <b/>
            <sz val="9"/>
            <color indexed="81"/>
            <rFont val="Tahoma"/>
            <family val="2"/>
          </rPr>
          <t>Kyndra Daniels:</t>
        </r>
        <r>
          <rPr>
            <sz val="9"/>
            <color indexed="81"/>
            <rFont val="Tahoma"/>
            <family val="2"/>
          </rPr>
          <t xml:space="preserve">
This amount comes from their application, should request a final report at completion,</t>
        </r>
      </text>
    </comment>
    <comment ref="F15" authorId="1" shapeId="0" xr:uid="{00000000-0006-0000-0000-000002000000}">
      <text>
        <r>
          <rPr>
            <b/>
            <sz val="9"/>
            <color indexed="81"/>
            <rFont val="Tahoma"/>
            <family val="2"/>
          </rPr>
          <t>Fredda Martinez:</t>
        </r>
        <r>
          <rPr>
            <sz val="9"/>
            <color indexed="81"/>
            <rFont val="Tahoma"/>
            <family val="2"/>
          </rPr>
          <t xml:space="preserve">
Pulled this information from the Application 2/10/23</t>
        </r>
      </text>
    </comment>
    <comment ref="F18" authorId="1" shapeId="0" xr:uid="{00000000-0006-0000-0000-000003000000}">
      <text>
        <r>
          <rPr>
            <b/>
            <sz val="9"/>
            <color indexed="81"/>
            <rFont val="Tahoma"/>
            <family val="2"/>
          </rPr>
          <t>Fredda Martinez:</t>
        </r>
        <r>
          <rPr>
            <sz val="9"/>
            <color indexed="81"/>
            <rFont val="Tahoma"/>
            <family val="2"/>
          </rPr>
          <t xml:space="preserve">
Revised Matching Funds with Current Matching Fund Table from KD 2/24/2023</t>
        </r>
      </text>
    </comment>
    <comment ref="F19" authorId="1" shapeId="0" xr:uid="{00000000-0006-0000-0000-000004000000}">
      <text>
        <r>
          <rPr>
            <b/>
            <sz val="9"/>
            <color indexed="81"/>
            <rFont val="Tahoma"/>
            <family val="2"/>
          </rPr>
          <t>Fredda Martinez:</t>
        </r>
        <r>
          <rPr>
            <sz val="9"/>
            <color indexed="81"/>
            <rFont val="Tahoma"/>
            <family val="2"/>
          </rPr>
          <t xml:space="preserve">
Found this info ont the contract 2/10/2023</t>
        </r>
      </text>
    </comment>
    <comment ref="F21" authorId="1" shapeId="0" xr:uid="{00000000-0006-0000-0000-000005000000}">
      <text>
        <r>
          <rPr>
            <b/>
            <sz val="9"/>
            <color indexed="81"/>
            <rFont val="Tahoma"/>
            <family val="2"/>
          </rPr>
          <t>Fredda Martinez:</t>
        </r>
        <r>
          <rPr>
            <sz val="9"/>
            <color indexed="81"/>
            <rFont val="Tahoma"/>
            <family val="2"/>
          </rPr>
          <t xml:space="preserve">
Updated Matching with delegation agreement 2/24/2023</t>
        </r>
      </text>
    </comment>
    <comment ref="C36" authorId="1" shapeId="0" xr:uid="{00000000-0006-0000-0000-000006000000}">
      <text>
        <r>
          <rPr>
            <b/>
            <sz val="9"/>
            <color indexed="81"/>
            <rFont val="Tahoma"/>
            <family val="2"/>
          </rPr>
          <t>Fredda Martinez:</t>
        </r>
        <r>
          <rPr>
            <sz val="9"/>
            <color indexed="81"/>
            <rFont val="Tahoma"/>
            <family val="2"/>
          </rPr>
          <t xml:space="preserve">
This number comes from the available funding in IDIS </t>
        </r>
      </text>
    </comment>
    <comment ref="C38" authorId="1" shapeId="0" xr:uid="{00000000-0006-0000-0000-000007000000}">
      <text>
        <r>
          <rPr>
            <b/>
            <sz val="9"/>
            <color indexed="81"/>
            <rFont val="Tahoma"/>
            <family val="2"/>
          </rPr>
          <t>Fredda Martinez:</t>
        </r>
        <r>
          <rPr>
            <sz val="9"/>
            <color indexed="81"/>
            <rFont val="Tahoma"/>
            <family val="2"/>
          </rPr>
          <t xml:space="preserve">
Budgeted $5,000.00 PI but received $24,296.35 had to add the difference of $19,296.35 to Re-Purposed Fund</t>
        </r>
      </text>
    </comment>
    <comment ref="A42" authorId="1" shapeId="0" xr:uid="{00000000-0006-0000-0000-000008000000}">
      <text>
        <r>
          <rPr>
            <b/>
            <sz val="9"/>
            <color indexed="81"/>
            <rFont val="Tahoma"/>
            <family val="2"/>
          </rPr>
          <t>Fredda Martinez:</t>
        </r>
        <r>
          <rPr>
            <sz val="9"/>
            <color indexed="81"/>
            <rFont val="Tahoma"/>
            <family val="2"/>
          </rPr>
          <t xml:space="preserve">
This is calculated against the expenditure amount on any project that supported non low mod beneificaires </t>
        </r>
      </text>
    </comment>
    <comment ref="B80" authorId="0" shapeId="0" xr:uid="{00000000-0006-0000-0000-000009000000}">
      <text>
        <r>
          <rPr>
            <b/>
            <sz val="9"/>
            <color rgb="FF000000"/>
            <rFont val="Tahoma"/>
            <family val="2"/>
          </rPr>
          <t>Kyndra Daniels:</t>
        </r>
        <r>
          <rPr>
            <sz val="9"/>
            <color rgb="FF000000"/>
            <rFont val="Tahoma"/>
            <family val="2"/>
          </rPr>
          <t xml:space="preserve">
</t>
        </r>
        <r>
          <rPr>
            <sz val="9"/>
            <color rgb="FF000000"/>
            <rFont val="Tahoma"/>
            <family val="2"/>
          </rPr>
          <t xml:space="preserve">$720,117.95 - 2014 Performance Plan Unspent
</t>
        </r>
        <r>
          <rPr>
            <sz val="9"/>
            <color rgb="FF000000"/>
            <rFont val="Tahoma"/>
            <family val="2"/>
          </rPr>
          <t xml:space="preserve">$(33.00) - 2014 Expense Accrual
</t>
        </r>
        <r>
          <rPr>
            <sz val="9"/>
            <color rgb="FF000000"/>
            <rFont val="Tahoma"/>
            <family val="2"/>
          </rPr>
          <t xml:space="preserve">($1.00)  - Adjusted Balance to actual
</t>
        </r>
        <r>
          <rPr>
            <sz val="9"/>
            <color rgb="FF000000"/>
            <rFont val="Tahoma"/>
            <family val="2"/>
          </rPr>
          <t xml:space="preserve">$720,083.95
</t>
        </r>
        <r>
          <rPr>
            <sz val="9"/>
            <color rgb="FF000000"/>
            <rFont val="Tahoma"/>
            <family val="2"/>
          </rPr>
          <t xml:space="preserve">2016
</t>
        </r>
        <r>
          <rPr>
            <sz val="9"/>
            <color rgb="FF000000"/>
            <rFont val="Tahoma"/>
            <family val="2"/>
          </rPr>
          <t xml:space="preserve">$823,862.00
</t>
        </r>
        <r>
          <rPr>
            <sz val="9"/>
            <color rgb="FF000000"/>
            <rFont val="Tahoma"/>
            <family val="2"/>
          </rPr>
          <t xml:space="preserve">$33.00
</t>
        </r>
        <r>
          <rPr>
            <sz val="9"/>
            <color rgb="FF000000"/>
            <rFont val="Tahoma"/>
            <family val="2"/>
          </rPr>
          <t xml:space="preserve">$1.00
</t>
        </r>
        <r>
          <rPr>
            <sz val="9"/>
            <color rgb="FF000000"/>
            <rFont val="Tahoma"/>
            <family val="2"/>
          </rPr>
          <t>823,896.00</t>
        </r>
      </text>
    </comment>
    <comment ref="B82" authorId="0" shapeId="0" xr:uid="{00000000-0006-0000-0000-00000A000000}">
      <text>
        <r>
          <rPr>
            <b/>
            <sz val="9"/>
            <color indexed="81"/>
            <rFont val="Tahoma"/>
            <family val="2"/>
          </rPr>
          <t>Kyndra Daniels:</t>
        </r>
        <r>
          <rPr>
            <sz val="9"/>
            <color indexed="81"/>
            <rFont val="Tahoma"/>
            <family val="2"/>
          </rPr>
          <t xml:space="preserve">
$720,117.95 - 2014 Performance Plan Unspent
$(33.00) - 2014 Expense Accrual
($1.00)  - Adjusted Balance to actual
$720,083.95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Kyndra Daniels</author>
  </authors>
  <commentList>
    <comment ref="B72" authorId="0" shapeId="0" xr:uid="{00000000-0006-0000-0100-000001000000}">
      <text>
        <r>
          <rPr>
            <b/>
            <sz val="9"/>
            <color indexed="81"/>
            <rFont val="Tahoma"/>
            <family val="2"/>
          </rPr>
          <t>Kyndra Daniels:</t>
        </r>
        <r>
          <rPr>
            <sz val="9"/>
            <color indexed="81"/>
            <rFont val="Tahoma"/>
            <family val="2"/>
          </rPr>
          <t xml:space="preserve">
$720,117.95 - 2014 Performance Plan Unspent
$(33.00) - 2014 Expense Accrual
($1.00)  - Adjusted Balance to actual
$720,083.95
2016
$823,862.00
$33.00
$1.00
823,896.00</t>
        </r>
      </text>
    </comment>
    <comment ref="B74" authorId="0" shapeId="0" xr:uid="{00000000-0006-0000-0100-000002000000}">
      <text>
        <r>
          <rPr>
            <b/>
            <sz val="9"/>
            <color indexed="81"/>
            <rFont val="Tahoma"/>
            <family val="2"/>
          </rPr>
          <t>Kyndra Daniels:</t>
        </r>
        <r>
          <rPr>
            <sz val="9"/>
            <color indexed="81"/>
            <rFont val="Tahoma"/>
            <family val="2"/>
          </rPr>
          <t xml:space="preserve">
$720,117.95 - 2014 Performance Plan Unspent
$(33.00) - 2014 Expense Accrual
($1.00)  - Adjusted Balance to actual
$720,083.95
</t>
        </r>
      </text>
    </comment>
  </commentList>
</comments>
</file>

<file path=xl/sharedStrings.xml><?xml version="1.0" encoding="utf-8"?>
<sst xmlns="http://schemas.openxmlformats.org/spreadsheetml/2006/main" count="391" uniqueCount="213">
  <si>
    <t>2022 CDBG Funding Expenditures and Accomplishments</t>
  </si>
  <si>
    <t>Activity/Project Name</t>
  </si>
  <si>
    <t>Accomplishments</t>
  </si>
  <si>
    <t>Budget</t>
  </si>
  <si>
    <t>2022 Expenditures</t>
  </si>
  <si>
    <t>2023 Carry Forward Budget</t>
  </si>
  <si>
    <t>Matching Funds</t>
  </si>
  <si>
    <t>Total Households or Persons</t>
  </si>
  <si>
    <r>
      <t>Extremely Low Income
(</t>
    </r>
    <r>
      <rPr>
        <b/>
        <u/>
        <sz val="12"/>
        <rFont val="Calibri"/>
        <family val="2"/>
      </rPr>
      <t>&lt;</t>
    </r>
    <r>
      <rPr>
        <b/>
        <sz val="12"/>
        <rFont val="Calibri"/>
        <family val="2"/>
      </rPr>
      <t xml:space="preserve"> 30% AMI)</t>
    </r>
  </si>
  <si>
    <t>Low Income
(31% - 50% AMI)</t>
  </si>
  <si>
    <t>Moderate Income
(51% - 80% AMI)</t>
  </si>
  <si>
    <t>Non Low Moderate Income (Above 80%)</t>
  </si>
  <si>
    <t>White Persons</t>
  </si>
  <si>
    <t>Latino/ Hispanic</t>
  </si>
  <si>
    <t>Other Races than White</t>
  </si>
  <si>
    <t>Elderly</t>
  </si>
  <si>
    <t>Disabled</t>
  </si>
  <si>
    <t>Female Head of Household</t>
  </si>
  <si>
    <t>Community Investment Programs</t>
  </si>
  <si>
    <t>Community Investment Programs Total</t>
  </si>
  <si>
    <t>Economic Development Programs</t>
  </si>
  <si>
    <t>Economic Development Programs Total</t>
  </si>
  <si>
    <t>Housing Programs</t>
  </si>
  <si>
    <t>Rehabilitation Project Delivery</t>
  </si>
  <si>
    <t xml:space="preserve">Rehab project delivery includes staffing and other direct costs directly related to carrying out the four housing rehabilitation programs detailed below.  These costs can include getting appraisals, inspection of the properties, preparation of work specifications, application processing and other related items. </t>
  </si>
  <si>
    <t>N/A</t>
  </si>
  <si>
    <t>Household beneificaries are reported under their funding program below.</t>
  </si>
  <si>
    <r>
      <rPr>
        <b/>
        <sz val="12"/>
        <color indexed="8"/>
        <rFont val="Calibri"/>
        <family val="2"/>
      </rPr>
      <t xml:space="preserve">Housing Rehabilitiation - </t>
    </r>
    <r>
      <rPr>
        <sz val="12"/>
        <color indexed="8"/>
        <rFont val="Calibri"/>
        <family val="2"/>
      </rPr>
      <t xml:space="preserve">The City's Rehabilitation Programs provide assistance to low and moderate income home owners, who need financial assistance to bring their homes up to code, make energy efficiency improvements, or eliminate health and safety issues posing an immediate danger. The City will provide rehabilitation grants, low interest repayment loans, forgivable loans and deferred loans to property owners whose property is in the City of Longmont and who occupy the property as their principal residence.  </t>
    </r>
    <r>
      <rPr>
        <sz val="12"/>
        <color indexed="12"/>
        <rFont val="Calibri"/>
        <family val="2"/>
      </rPr>
      <t>A total of 18 households received funding in 2021.</t>
    </r>
  </si>
  <si>
    <t xml:space="preserve">This program offers low-interest repayment loans, forgivable or deferred loans to homeowners to correct housing code violations, to make energy efficienct and architechtural barrier improvements, or other housing improvements.  In 2022 we assisted 15 households. 
</t>
  </si>
  <si>
    <t>NA</t>
  </si>
  <si>
    <t>Boulder County Housing Counseling Program
(Public Service Activity)</t>
  </si>
  <si>
    <t xml:space="preserve">Boulder County Housing and Human Services Dept provides homeownership training to many Boulder County residents. In 2022 there were 205 households that received budgeting and financial counseling to prepare them for Homeownership.  This was slightly less than our 200 expected households due to lingering effects of the COVID-19 Pandemic. The City of Longmont's CDBG funding paid salaries and benefits to counselors who provided one-on-one related counseling.  Individual counseling resources help clients with budget and credit counseling, foreclosure prevention, pre and post purchase, and rental education.   </t>
  </si>
  <si>
    <t>LHA Security Cameras</t>
  </si>
  <si>
    <t>LHA is working with Longmont Police department to determine location of cameras. Multiple bids have been received for the cameras. This project is estimated to be completed Spring of 2023.</t>
  </si>
  <si>
    <t>Beneficiary Data will be collect in 2023 when expenditures and project closeout occur</t>
  </si>
  <si>
    <t>LHA Aspen Meadows Playground</t>
  </si>
  <si>
    <t>Received one bid, and seeking additional bids. Delay due to time of year. The project is estimated Summer of 2023.</t>
  </si>
  <si>
    <t>Crisman II - Land Acquisition</t>
  </si>
  <si>
    <t>Acquisition and tax credit closing for Crisman II completed June 24, 2022. Construction of 84 units of multi-family housing serving households between 30-60% AMI began in July 2022 and will complete in December 2023.</t>
  </si>
  <si>
    <t xml:space="preserve">Construction in Process. Will report beneficiaries upon completion </t>
  </si>
  <si>
    <t>Imagine Rehab</t>
  </si>
  <si>
    <t xml:space="preserve">Imagine ! Rehab project will benefit 6 tenants living in this property. The Agreement for Delegation Activities was signed on Ocotber 21, 2021. Due to the type of clients served at the Image! Home, who have increased risk of developing dangerous symptoms if they get Covid-19, rehab was put on hold. Rehab took place in 2022 and both bathrooms were remodeled with accessibility improvements to accommodate six residents living at Imagine Smart Home. </t>
  </si>
  <si>
    <t>LHA Hover Crossing</t>
  </si>
  <si>
    <t>Delay due to weather. Ice and snow have remained for several months. One bid has been received and additional bids are expected. Estimated spring of 2023.</t>
  </si>
  <si>
    <t>EforALL</t>
  </si>
  <si>
    <t>EforAll Longmont promotes job creation or retention through supports for primarily micro-enterprises or small businesses. Stakeholders identified a need for job creation and employments opportunities, as well as skill development and techical assistances, especially for under skilled residents with disabilities. 64 households were provided through Economic Development in 2022.</t>
  </si>
  <si>
    <t>Fresh Start Utility Billing</t>
  </si>
  <si>
    <t>Fresh Start Utility Billing Assistance Program serves income-qualified households that were financially affected by the pandemic by crediting utility account balances that are  under threat of shut off. The CDBG-funded program assisted 42 households and completed in early 2022.</t>
  </si>
  <si>
    <t>Housing Programs Total</t>
  </si>
  <si>
    <t>Neighborhood Revitalization Projects</t>
  </si>
  <si>
    <t>Neighborhood Revitalization Projects Total</t>
  </si>
  <si>
    <t>ADMINISTRATION AND PLANNING</t>
  </si>
  <si>
    <t>Administration</t>
  </si>
  <si>
    <t>General Administration</t>
  </si>
  <si>
    <t>Program Administration Total</t>
  </si>
  <si>
    <t>Grand Total</t>
  </si>
  <si>
    <t>CDBG Funds for re-purpose (Includes additional program income received, unused project funding, unused admin funding)</t>
  </si>
  <si>
    <t>Total with Non Allocated Funds</t>
  </si>
  <si>
    <t>Funding Subject to Low\Mod Benefit</t>
  </si>
  <si>
    <t>Total Expenditures Subject to Low\Mod Benefit</t>
  </si>
  <si>
    <t xml:space="preserve">Total Benefited  </t>
  </si>
  <si>
    <t>Non-Low Mod Benefited Calculation</t>
  </si>
  <si>
    <t xml:space="preserve">Total Low Mod Benefited </t>
  </si>
  <si>
    <t>Expenditure Ratio</t>
  </si>
  <si>
    <t>Leverage Ratio</t>
  </si>
  <si>
    <t>To Every $1.00</t>
  </si>
  <si>
    <t>Admin Ratio</t>
  </si>
  <si>
    <t>Low\Mod Income Ratio</t>
  </si>
  <si>
    <t>Program</t>
  </si>
  <si>
    <t>Expenditures</t>
  </si>
  <si>
    <t>% of Expend</t>
  </si>
  <si>
    <t>Category Budget as % of Total Budget</t>
  </si>
  <si>
    <t>Category Expenditure as % of Total Expenditures</t>
  </si>
  <si>
    <t>Housing</t>
  </si>
  <si>
    <t>Program Admin\Planning</t>
  </si>
  <si>
    <t xml:space="preserve">CDBG Funds Not Allocated </t>
  </si>
  <si>
    <t xml:space="preserve"> </t>
  </si>
  <si>
    <t>Budget Reconcilation</t>
  </si>
  <si>
    <t>PR 26 Reconcilation</t>
  </si>
  <si>
    <t>Must create a new PR-26 file each year in IDIS</t>
  </si>
  <si>
    <t>CDBG Grant Agreement</t>
  </si>
  <si>
    <t>CDBG Prior Year Unexpended</t>
  </si>
  <si>
    <t xml:space="preserve"> - Amount will need entered on the PR26 Form</t>
  </si>
  <si>
    <t>2022 Program Income (Budgeted on Action Plan)</t>
  </si>
  <si>
    <t>Current Year Grant</t>
  </si>
  <si>
    <t xml:space="preserve"> - Should automatically report in IDIS</t>
  </si>
  <si>
    <t>Previous Years Unexpended Funds (Prior Year PR 26)</t>
  </si>
  <si>
    <t>Program Income (Actual)</t>
  </si>
  <si>
    <t xml:space="preserve"> - Should tie to your spreadsheet and the PI Draws in IDIS</t>
  </si>
  <si>
    <t>Total Budgeted for 2022</t>
  </si>
  <si>
    <t>Prior Year Adjustment</t>
  </si>
  <si>
    <t xml:space="preserve"> - Prior year adjustments could include Program Income not receipted in the correct year</t>
  </si>
  <si>
    <t>Difference</t>
  </si>
  <si>
    <t xml:space="preserve">Total Available </t>
  </si>
  <si>
    <t xml:space="preserve"> - Should tie to line 08 on the PR26</t>
  </si>
  <si>
    <t>Total Disbursements\Expenditures</t>
  </si>
  <si>
    <t xml:space="preserve"> - Should tie to your spreadsheet and the draws in IDIS</t>
  </si>
  <si>
    <t>Unexpended Balance 2022</t>
  </si>
  <si>
    <t xml:space="preserve"> - Should tie to line 16 on the PR26 Report</t>
  </si>
  <si>
    <t>Committed Funds</t>
  </si>
  <si>
    <t>Un-programed Funds</t>
  </si>
  <si>
    <t>Funds Unspent at End of Year</t>
  </si>
  <si>
    <t>Total without midtown</t>
  </si>
  <si>
    <t>Table Matrix on Caper</t>
  </si>
  <si>
    <t>Minority</t>
  </si>
  <si>
    <t>Below 30%</t>
  </si>
  <si>
    <t>31-50%</t>
  </si>
  <si>
    <t>51-80%</t>
  </si>
  <si>
    <t>Above 80%</t>
  </si>
  <si>
    <t>Graph Results</t>
  </si>
  <si>
    <t>2021 Unexpended Funds</t>
  </si>
  <si>
    <t>2022 CDBG Grant</t>
  </si>
  <si>
    <t>Program Income</t>
  </si>
  <si>
    <t>Funds to Re-Purpose</t>
  </si>
  <si>
    <t>2022 Budget</t>
  </si>
  <si>
    <t>2022 Unexpended Funds</t>
  </si>
  <si>
    <t>Graph for 2022 estimated</t>
  </si>
  <si>
    <t>2023 CDBG Grant</t>
  </si>
  <si>
    <t>Estimated Program Income</t>
  </si>
  <si>
    <t>2023 Budget</t>
  </si>
  <si>
    <t>Estimated Expenditures</t>
  </si>
  <si>
    <t>2022 CDBG-CV Funding Expenditures and Accomplishments</t>
  </si>
  <si>
    <t>Recovery Café</t>
  </si>
  <si>
    <t>Recovery Café is a non-profit organization providing substance abuse and mental health counseling services to help people stay in recovery. They work to build a community that provides support and skills for those working to break the cycle of homelessness, addiction, and other mental health challenges. They are currently working out of space in a church. The plan is to build next to the Suites Apartments. This Project will occur in 2023.</t>
  </si>
  <si>
    <t xml:space="preserve">Currently in the contracting process. </t>
  </si>
  <si>
    <t>Fresh Start Utility Billing Assistance Program serves income-qualified households that were financially affected by the pandemic by crediting utility account balances that are under threat of shut off. The CDBG-CV funded program served 127 households in 2022 and is anticipated to complete in mid-2023.</t>
  </si>
  <si>
    <t>CDBG Funds Not Allocated  (Includes Program Income Used and Cancelled Projects)</t>
  </si>
  <si>
    <t>Total CDBG Expenditures minus Admin</t>
  </si>
  <si>
    <t xml:space="preserve">LOW\Mod Benefit Total $$ </t>
  </si>
  <si>
    <t>Cumulative Costs (GL Review)</t>
  </si>
  <si>
    <t>Project Cost</t>
  </si>
  <si>
    <t>Admin</t>
  </si>
  <si>
    <t>Reconciliation</t>
  </si>
  <si>
    <t>CDBG-CV Grant</t>
  </si>
  <si>
    <t>2020 Program Income</t>
  </si>
  <si>
    <t>Total Budgeted for 2019</t>
  </si>
  <si>
    <t>Program income on</t>
  </si>
  <si>
    <t>PY Draw</t>
  </si>
  <si>
    <t>Funds Unspent at 2019 Year End</t>
  </si>
  <si>
    <t>2019 Unexpended Funds</t>
  </si>
  <si>
    <t>2020 CDBG Grant</t>
  </si>
  <si>
    <t>2020 Budget</t>
  </si>
  <si>
    <t>2020 Unexpended Funds</t>
  </si>
  <si>
    <t>2021 CDBG Grant</t>
  </si>
  <si>
    <t>2021 Budget</t>
  </si>
  <si>
    <t>2022 HOME CONSORTIUM and HOME STATE FUNDING AND EXPENDITURES</t>
  </si>
  <si>
    <t>Total</t>
  </si>
  <si>
    <t>Extremely Low</t>
  </si>
  <si>
    <t>Low</t>
  </si>
  <si>
    <t>Moderate</t>
  </si>
  <si>
    <t>White\ Hispanic</t>
  </si>
  <si>
    <t>Other Persons</t>
  </si>
  <si>
    <t>No HOME Projects for 2019</t>
  </si>
  <si>
    <t>to every $1.00</t>
  </si>
  <si>
    <t>2022 AFFORDABLE HOUSING</t>
  </si>
  <si>
    <t>Accomplishment</t>
  </si>
  <si>
    <t>2023 Carryforward Budget</t>
  </si>
  <si>
    <t>Total Households</t>
  </si>
  <si>
    <t>Non\Low Moderate Income</t>
  </si>
  <si>
    <t>Housing Projects</t>
  </si>
  <si>
    <t>Longmont City Owned Rehab</t>
  </si>
  <si>
    <t>Construction in progress</t>
  </si>
  <si>
    <t>Habitat for Humanity - E Rogers Rd</t>
  </si>
  <si>
    <t>This was paid out in the 1st Quarter of 2023</t>
  </si>
  <si>
    <t>Element Pre Development Costs</t>
  </si>
  <si>
    <t>Construction in progress - $350,000 Paid back in 1st Quarter of 2023</t>
  </si>
  <si>
    <t xml:space="preserve">Mustang Land Purchase -Havest Junction </t>
  </si>
  <si>
    <t xml:space="preserve">Of the $1,470,150.00, $600,00.00 was distributed to the fleet fund. The remaining $870,150.00 is remaining as a liability. </t>
  </si>
  <si>
    <t>Crisman II - New Construction</t>
  </si>
  <si>
    <t xml:space="preserve">Development/Construction Underway </t>
  </si>
  <si>
    <t>Fee Offsets</t>
  </si>
  <si>
    <t>Habitat for Humaity - Mountain Brook</t>
  </si>
  <si>
    <t>Costs paid to Public Works and\or LPC for fee offsets</t>
  </si>
  <si>
    <t>Affordable Housing Fee Offset Set Aside</t>
  </si>
  <si>
    <t>BCHA - Coffman Apartments Estimated Fee Offsets</t>
  </si>
  <si>
    <t>Prospect - Longmont Family Apartments - Estimated Fee Offest</t>
  </si>
  <si>
    <t>Cinnamon Park - Senior Housing - Estimated Fee Offsets</t>
  </si>
  <si>
    <t>Crisman II - New construction - Estimated Fee Offsets</t>
  </si>
  <si>
    <t>Administration and Planning</t>
  </si>
  <si>
    <t xml:space="preserve">Initial budget $382,658.80. We earned additional admin based on 10% calculation which is $25,034.53.  </t>
  </si>
  <si>
    <t>National Development Council</t>
  </si>
  <si>
    <t>Training Resources</t>
  </si>
  <si>
    <t>Pilot Program Planning Facilitator</t>
  </si>
  <si>
    <t>Planner is working with 6 developers so far, one of which has constructed and is leasing 10 affordable rental homes. Three projects are in the development review process, one has held a pre-app and one helped Longmont Mobile Home Park vacate easements and subdivide property to sell home and use proceeds to pay down ROC loan.</t>
  </si>
  <si>
    <t xml:space="preserve">Planning Project - No Beneficiary Data </t>
  </si>
  <si>
    <t>Housing Needs Assessment and Incentive Update</t>
  </si>
  <si>
    <t>Grant Funded</t>
  </si>
  <si>
    <t>Neighborly</t>
  </si>
  <si>
    <t>Worked with Neighborly to set up an applicant submission and grant tracking program</t>
  </si>
  <si>
    <t>Software</t>
  </si>
  <si>
    <t>Amt Subject to Low\Mod</t>
  </si>
  <si>
    <t xml:space="preserve">Low\Mod Expenditures </t>
  </si>
  <si>
    <t>** Only is measured against the admin for the AHF, LHA amounts were excluded</t>
  </si>
  <si>
    <t>Low\Mod Income $$ Ratio</t>
  </si>
  <si>
    <t>Program Administration</t>
  </si>
  <si>
    <t>Type of Spending</t>
  </si>
  <si>
    <t>Amount ($)</t>
  </si>
  <si>
    <t>Project/Program</t>
  </si>
  <si>
    <t>Budget ($)</t>
  </si>
  <si>
    <t>2022 Expenditures ($)</t>
  </si>
  <si>
    <t>Rehab project delivery</t>
  </si>
  <si>
    <t>General Housing Rehab</t>
  </si>
  <si>
    <t>HSBC - Housing Counseling</t>
  </si>
  <si>
    <t>LHA - Playground</t>
  </si>
  <si>
    <t xml:space="preserve">LHA  - Parking Lot ADA </t>
  </si>
  <si>
    <t>LHA - Security Cameras</t>
  </si>
  <si>
    <t>E for All</t>
  </si>
  <si>
    <t>Crismann II Land Acquisition</t>
  </si>
  <si>
    <t>Fresh Start Utility Assistance</t>
  </si>
  <si>
    <t>Data</t>
  </si>
  <si>
    <t>Sum of Category Budget as % of Total Budget</t>
  </si>
  <si>
    <t>Sum of Budget</t>
  </si>
  <si>
    <t>Sum of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</si>
</sst>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0%"/>
  </numFmts>
  <fonts count="69" x14ac:knownFonts="1">
    <font>
      <sz val="11"/>
      <color theme="1"/>
      <name val="Calibri"/>
      <family val="2"/>
      <scheme val="minor"/>
    </font>
    <font>
      <sz val="11"/>
      <color indexed="8"/>
      <name val="Calibri"/>
      <family val="2"/>
    </font>
    <font>
      <sz val="10"/>
      <name val="Arial"/>
      <family val="2"/>
    </font>
    <font>
      <sz val="12"/>
      <color indexed="8"/>
      <name val="Calibri"/>
      <family val="2"/>
    </font>
    <font>
      <sz val="9"/>
      <color indexed="81"/>
      <name val="Tahoma"/>
      <family val="2"/>
    </font>
    <font>
      <b/>
      <sz val="9"/>
      <color indexed="81"/>
      <name val="Tahoma"/>
      <family val="2"/>
    </font>
    <font>
      <b/>
      <sz val="12"/>
      <name val="Calibri"/>
      <family val="2"/>
    </font>
    <font>
      <b/>
      <u/>
      <sz val="12"/>
      <name val="Calibri"/>
      <family val="2"/>
    </font>
    <font>
      <b/>
      <sz val="12"/>
      <color indexed="8"/>
      <name val="Calibri"/>
      <family val="2"/>
    </font>
    <font>
      <sz val="12"/>
      <color indexed="1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00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8"/>
      <color theme="1"/>
      <name val="Calibri"/>
      <family val="2"/>
      <scheme val="minor"/>
    </font>
    <font>
      <sz val="18"/>
      <name val="Calibri"/>
      <family val="2"/>
      <scheme val="minor"/>
    </font>
    <font>
      <sz val="11"/>
      <name val="Calibri"/>
      <family val="2"/>
      <scheme val="minor"/>
    </font>
    <font>
      <b/>
      <sz val="11"/>
      <name val="Calibri"/>
      <family val="2"/>
      <scheme val="minor"/>
    </font>
    <font>
      <sz val="12"/>
      <name val="Calibri"/>
      <family val="2"/>
      <scheme val="minor"/>
    </font>
    <font>
      <sz val="12"/>
      <color theme="1"/>
      <name val="Calibri"/>
      <family val="2"/>
      <scheme val="minor"/>
    </font>
    <font>
      <b/>
      <sz val="18"/>
      <name val="Calibri"/>
      <family val="2"/>
      <scheme val="minor"/>
    </font>
    <font>
      <b/>
      <sz val="18"/>
      <color theme="0"/>
      <name val="Calibri"/>
      <family val="2"/>
      <scheme val="minor"/>
    </font>
    <font>
      <b/>
      <sz val="12"/>
      <name val="Calibri"/>
      <family val="2"/>
      <scheme val="minor"/>
    </font>
    <font>
      <b/>
      <sz val="18"/>
      <color theme="1"/>
      <name val="Calibri"/>
      <family val="2"/>
      <scheme val="minor"/>
    </font>
    <font>
      <b/>
      <sz val="12"/>
      <color theme="1"/>
      <name val="Calibri"/>
      <family val="2"/>
      <scheme val="minor"/>
    </font>
    <font>
      <b/>
      <sz val="11"/>
      <color rgb="FF0000FF"/>
      <name val="Calibri"/>
      <family val="2"/>
      <scheme val="minor"/>
    </font>
    <font>
      <b/>
      <sz val="11"/>
      <color rgb="FF0033CC"/>
      <name val="Calibri"/>
      <family val="2"/>
      <scheme val="minor"/>
    </font>
    <font>
      <b/>
      <sz val="11"/>
      <color rgb="FFFF0000"/>
      <name val="Calibri"/>
      <family val="2"/>
      <scheme val="minor"/>
    </font>
    <font>
      <i/>
      <sz val="12"/>
      <color rgb="FF0000FF"/>
      <name val="Calibri"/>
      <family val="2"/>
      <scheme val="minor"/>
    </font>
    <font>
      <b/>
      <i/>
      <sz val="11"/>
      <color rgb="FFFF0000"/>
      <name val="Calibri"/>
      <family val="2"/>
      <scheme val="minor"/>
    </font>
    <font>
      <b/>
      <sz val="11"/>
      <color rgb="FFC00000"/>
      <name val="Calibri"/>
      <family val="2"/>
      <scheme val="minor"/>
    </font>
    <font>
      <i/>
      <sz val="12"/>
      <color theme="1"/>
      <name val="Calibri"/>
      <family val="2"/>
      <scheme val="minor"/>
    </font>
    <font>
      <sz val="11"/>
      <color rgb="FF0000FF"/>
      <name val="Calibri"/>
      <family val="2"/>
      <scheme val="minor"/>
    </font>
    <font>
      <b/>
      <sz val="20"/>
      <color theme="1"/>
      <name val="Calibri"/>
      <family val="2"/>
      <scheme val="minor"/>
    </font>
    <font>
      <b/>
      <sz val="12"/>
      <color rgb="FF0000FF"/>
      <name val="Calibri"/>
      <family val="2"/>
      <scheme val="minor"/>
    </font>
    <font>
      <b/>
      <sz val="9"/>
      <color rgb="FF000000"/>
      <name val="Tahoma"/>
      <family val="2"/>
    </font>
    <font>
      <sz val="9"/>
      <color rgb="FF000000"/>
      <name val="Tahoma"/>
      <family val="2"/>
    </font>
  </fonts>
  <fills count="9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9"/>
        <bgColor theme="6" tint="0.79998168889431442"/>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
      <patternFill patternType="solid">
        <fgColor theme="0"/>
        <bgColor theme="6" tint="0.59999389629810485"/>
      </patternFill>
    </fill>
    <fill>
      <patternFill patternType="solid">
        <fgColor theme="4" tint="0.39997558519241921"/>
        <bgColor theme="6" tint="0.79998168889431442"/>
      </patternFill>
    </fill>
    <fill>
      <patternFill patternType="solid">
        <fgColor theme="6" tint="0.39997558519241921"/>
        <bgColor theme="6" tint="0.79998168889431442"/>
      </patternFill>
    </fill>
    <fill>
      <patternFill patternType="solid">
        <fgColor theme="7" tint="0.59999389629810485"/>
        <bgColor theme="6" tint="0.79998168889431442"/>
      </patternFill>
    </fill>
    <fill>
      <patternFill patternType="solid">
        <fgColor theme="9" tint="0.39997558519241921"/>
        <bgColor theme="6" tint="0.79998168889431442"/>
      </patternFill>
    </fill>
    <fill>
      <patternFill patternType="solid">
        <fgColor theme="5" tint="0.59999389629810485"/>
        <bgColor theme="6" tint="0.79998168889431442"/>
      </patternFill>
    </fill>
    <fill>
      <patternFill patternType="solid">
        <fgColor theme="3" tint="0.59999389629810485"/>
        <bgColor theme="6" tint="0.59999389629810485"/>
      </patternFill>
    </fill>
    <fill>
      <patternFill patternType="solid">
        <fgColor theme="5" tint="0.59999389629810485"/>
        <bgColor indexed="64"/>
      </patternFill>
    </fill>
    <fill>
      <patternFill patternType="solid">
        <fgColor theme="5" tint="0.59999389629810485"/>
        <bgColor theme="6" tint="0.59999389629810485"/>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59999389629810485"/>
        <bgColor theme="6" tint="0.59999389629810485"/>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59999389629810485"/>
        <bgColor theme="6" tint="0.59999389629810485"/>
      </patternFill>
    </fill>
    <fill>
      <patternFill patternType="solid">
        <fgColor theme="6" tint="0.39997558519241921"/>
        <bgColor theme="6" tint="0.59999389629810485"/>
      </patternFill>
    </fill>
    <fill>
      <patternFill patternType="solid">
        <fgColor theme="8" tint="0.399975585192419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6" tint="0.79998168889431442"/>
        <bgColor theme="6" tint="0.79998168889431442"/>
      </patternFill>
    </fill>
    <fill>
      <patternFill patternType="solid">
        <fgColor theme="8" tint="0.79998168889431442"/>
        <bgColor theme="6" tint="0.79998168889431442"/>
      </patternFill>
    </fill>
    <fill>
      <patternFill patternType="solid">
        <fgColor theme="8" tint="0.79998168889431442"/>
        <bgColor theme="6" tint="0.59999389629810485"/>
      </patternFill>
    </fill>
    <fill>
      <patternFill patternType="solid">
        <fgColor theme="5" tint="0.79998168889431442"/>
        <bgColor theme="6" tint="0.79998168889431442"/>
      </patternFill>
    </fill>
    <fill>
      <patternFill patternType="solid">
        <fgColor theme="5" tint="0.79998168889431442"/>
        <bgColor theme="6" tint="0.59999389629810485"/>
      </patternFill>
    </fill>
    <fill>
      <patternFill patternType="solid">
        <fgColor theme="6" tint="0.79998168889431442"/>
        <bgColor indexed="64"/>
      </patternFill>
    </fill>
    <fill>
      <patternFill patternType="solid">
        <fgColor theme="4" tint="0.79998168889431442"/>
        <bgColor theme="6" tint="0.79998168889431442"/>
      </patternFill>
    </fill>
    <fill>
      <patternFill patternType="solid">
        <fgColor theme="4" tint="0.79998168889431442"/>
        <bgColor theme="6" tint="0.5999938962981048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theme="6" tint="0.59999389629810485"/>
      </patternFill>
    </fill>
    <fill>
      <patternFill patternType="solid">
        <fgColor rgb="FFFFFFCC"/>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6" tint="-0.249977111117893"/>
      </top>
      <bottom style="medium">
        <color theme="6" tint="-0.249977111117893"/>
      </bottom>
      <diagonal/>
    </border>
    <border>
      <left style="thin">
        <color indexed="64"/>
      </left>
      <right/>
      <top style="thin">
        <color theme="6" tint="-0.249977111117893"/>
      </top>
      <bottom style="thin">
        <color indexed="64"/>
      </bottom>
      <diagonal/>
    </border>
    <border>
      <left/>
      <right/>
      <top style="thin">
        <color theme="6" tint="-0.249977111117893"/>
      </top>
      <bottom style="thin">
        <color indexed="64"/>
      </bottom>
      <diagonal/>
    </border>
    <border>
      <left style="thin">
        <color rgb="FF999999"/>
      </left>
      <right/>
      <top style="thin">
        <color rgb="FF999999"/>
      </top>
      <bottom/>
      <diagonal/>
    </border>
    <border>
      <left/>
      <right style="thin">
        <color rgb="FF999999"/>
      </right>
      <top style="thin">
        <color rgb="FF999999"/>
      </top>
      <bottom/>
      <diagonal/>
    </border>
    <border>
      <left style="thin">
        <color rgb="FF999999"/>
      </left>
      <right/>
      <top/>
      <bottom/>
      <diagonal/>
    </border>
    <border>
      <left style="thin">
        <color rgb="FF999999"/>
      </left>
      <right/>
      <top style="thin">
        <color rgb="FF999999"/>
      </top>
      <bottom style="thin">
        <color rgb="FF999999"/>
      </bottom>
      <diagonal/>
    </border>
    <border>
      <left style="thin">
        <color indexed="65"/>
      </left>
      <right style="thin">
        <color rgb="FF999999"/>
      </right>
      <top style="thin">
        <color rgb="FF999999"/>
      </top>
      <bottom/>
      <diagonal/>
    </border>
    <border>
      <left/>
      <right style="thin">
        <color rgb="FF999999"/>
      </right>
      <top/>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style="thin">
        <color rgb="FF999999"/>
      </top>
      <bottom style="thin">
        <color rgb="FF999999"/>
      </bottom>
      <diagonal/>
    </border>
    <border>
      <left style="thin">
        <color indexed="64"/>
      </left>
      <right/>
      <top style="thin">
        <color theme="6" tint="-0.249977111117893"/>
      </top>
      <bottom style="medium">
        <color theme="6" tint="-0.249977111117893"/>
      </bottom>
      <diagonal/>
    </border>
    <border>
      <left/>
      <right style="thin">
        <color indexed="64"/>
      </right>
      <top style="thin">
        <color theme="6" tint="-0.249977111117893"/>
      </top>
      <bottom style="medium">
        <color theme="6" tint="-0.249977111117893"/>
      </bottom>
      <diagonal/>
    </border>
    <border>
      <left/>
      <right/>
      <top style="medium">
        <color theme="6" tint="-0.249977111117893"/>
      </top>
      <bottom/>
      <diagonal/>
    </border>
    <border>
      <left/>
      <right/>
      <top style="thin">
        <color theme="6" tint="-0.249977111117893"/>
      </top>
      <bottom/>
      <diagonal/>
    </border>
    <border>
      <left/>
      <right/>
      <top/>
      <bottom style="medium">
        <color theme="6" tint="-0.249977111117893"/>
      </bottom>
      <diagonal/>
    </border>
    <border>
      <left style="thin">
        <color indexed="64"/>
      </left>
      <right/>
      <top style="thin">
        <color theme="6" tint="-0.249977111117893"/>
      </top>
      <bottom/>
      <diagonal/>
    </border>
    <border>
      <left/>
      <right style="thin">
        <color indexed="64"/>
      </right>
      <top style="thin">
        <color theme="6" tint="-0.249977111117893"/>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40">
    <xf numFmtId="0" fontId="0" fillId="0" borderId="0"/>
    <xf numFmtId="0" fontId="27" fillId="24" borderId="0" applyNumberFormat="0" applyBorder="0" applyAlignment="0" applyProtection="0"/>
    <xf numFmtId="0" fontId="1" fillId="2"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 fillId="3"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1" fillId="4"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1" fillId="5"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1" fillId="6"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 fillId="7"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1" fillId="8"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1" fillId="9"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1" fillId="10"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1" fillId="5"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1" fillId="8"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1" fillId="11" borderId="0" applyNumberFormat="0" applyBorder="0" applyAlignment="0" applyProtection="0"/>
    <xf numFmtId="0" fontId="27" fillId="35" borderId="0" applyNumberFormat="0" applyBorder="0" applyAlignment="0" applyProtection="0"/>
    <xf numFmtId="0" fontId="28" fillId="36" borderId="0" applyNumberFormat="0" applyBorder="0" applyAlignment="0" applyProtection="0"/>
    <xf numFmtId="0" fontId="10" fillId="12" borderId="0" applyNumberFormat="0" applyBorder="0" applyAlignment="0" applyProtection="0"/>
    <xf numFmtId="0" fontId="28" fillId="37" borderId="0" applyNumberFormat="0" applyBorder="0" applyAlignment="0" applyProtection="0"/>
    <xf numFmtId="0" fontId="10" fillId="9" borderId="0" applyNumberFormat="0" applyBorder="0" applyAlignment="0" applyProtection="0"/>
    <xf numFmtId="0" fontId="28" fillId="38" borderId="0" applyNumberFormat="0" applyBorder="0" applyAlignment="0" applyProtection="0"/>
    <xf numFmtId="0" fontId="10" fillId="10" borderId="0" applyNumberFormat="0" applyBorder="0" applyAlignment="0" applyProtection="0"/>
    <xf numFmtId="0" fontId="28" fillId="39" borderId="0" applyNumberFormat="0" applyBorder="0" applyAlignment="0" applyProtection="0"/>
    <xf numFmtId="0" fontId="10" fillId="13" borderId="0" applyNumberFormat="0" applyBorder="0" applyAlignment="0" applyProtection="0"/>
    <xf numFmtId="0" fontId="28" fillId="40" borderId="0" applyNumberFormat="0" applyBorder="0" applyAlignment="0" applyProtection="0"/>
    <xf numFmtId="0" fontId="10" fillId="14" borderId="0" applyNumberFormat="0" applyBorder="0" applyAlignment="0" applyProtection="0"/>
    <xf numFmtId="0" fontId="28" fillId="41" borderId="0" applyNumberFormat="0" applyBorder="0" applyAlignment="0" applyProtection="0"/>
    <xf numFmtId="0" fontId="10" fillId="15" borderId="0" applyNumberFormat="0" applyBorder="0" applyAlignment="0" applyProtection="0"/>
    <xf numFmtId="0" fontId="28" fillId="42" borderId="0" applyNumberFormat="0" applyBorder="0" applyAlignment="0" applyProtection="0"/>
    <xf numFmtId="0" fontId="10" fillId="16" borderId="0" applyNumberFormat="0" applyBorder="0" applyAlignment="0" applyProtection="0"/>
    <xf numFmtId="0" fontId="28" fillId="43" borderId="0" applyNumberFormat="0" applyBorder="0" applyAlignment="0" applyProtection="0"/>
    <xf numFmtId="0" fontId="10" fillId="17" borderId="0" applyNumberFormat="0" applyBorder="0" applyAlignment="0" applyProtection="0"/>
    <xf numFmtId="0" fontId="28" fillId="44" borderId="0" applyNumberFormat="0" applyBorder="0" applyAlignment="0" applyProtection="0"/>
    <xf numFmtId="0" fontId="10" fillId="18" borderId="0" applyNumberFormat="0" applyBorder="0" applyAlignment="0" applyProtection="0"/>
    <xf numFmtId="0" fontId="28" fillId="45" borderId="0" applyNumberFormat="0" applyBorder="0" applyAlignment="0" applyProtection="0"/>
    <xf numFmtId="0" fontId="10" fillId="13" borderId="0" applyNumberFormat="0" applyBorder="0" applyAlignment="0" applyProtection="0"/>
    <xf numFmtId="0" fontId="28" fillId="46" borderId="0" applyNumberFormat="0" applyBorder="0" applyAlignment="0" applyProtection="0"/>
    <xf numFmtId="0" fontId="10" fillId="14" borderId="0" applyNumberFormat="0" applyBorder="0" applyAlignment="0" applyProtection="0"/>
    <xf numFmtId="0" fontId="28" fillId="47" borderId="0" applyNumberFormat="0" applyBorder="0" applyAlignment="0" applyProtection="0"/>
    <xf numFmtId="0" fontId="10" fillId="19" borderId="0" applyNumberFormat="0" applyBorder="0" applyAlignment="0" applyProtection="0"/>
    <xf numFmtId="0" fontId="29" fillId="48" borderId="0" applyNumberFormat="0" applyBorder="0" applyAlignment="0" applyProtection="0"/>
    <xf numFmtId="0" fontId="11" fillId="3" borderId="0" applyNumberFormat="0" applyBorder="0" applyAlignment="0" applyProtection="0"/>
    <xf numFmtId="0" fontId="30" fillId="49" borderId="45" applyNumberFormat="0" applyAlignment="0" applyProtection="0"/>
    <xf numFmtId="0" fontId="12" fillId="20" borderId="1" applyNumberFormat="0" applyAlignment="0" applyProtection="0"/>
    <xf numFmtId="0" fontId="31" fillId="50" borderId="46" applyNumberFormat="0" applyAlignment="0" applyProtection="0"/>
    <xf numFmtId="0" fontId="13"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7" fillId="0" borderId="0" applyFont="0" applyFill="0" applyBorder="0" applyAlignment="0" applyProtection="0"/>
    <xf numFmtId="0" fontId="33" fillId="0" borderId="0" applyNumberFormat="0" applyFill="0" applyBorder="0" applyAlignment="0" applyProtection="0"/>
    <xf numFmtId="0" fontId="14" fillId="0" borderId="0" applyNumberFormat="0" applyFill="0" applyBorder="0" applyAlignment="0" applyProtection="0"/>
    <xf numFmtId="0" fontId="34" fillId="51" borderId="0" applyNumberFormat="0" applyBorder="0" applyAlignment="0" applyProtection="0"/>
    <xf numFmtId="0" fontId="15" fillId="4" borderId="0" applyNumberFormat="0" applyBorder="0" applyAlignment="0" applyProtection="0"/>
    <xf numFmtId="0" fontId="35" fillId="0" borderId="47" applyNumberFormat="0" applyFill="0" applyAlignment="0" applyProtection="0"/>
    <xf numFmtId="0" fontId="16" fillId="0" borderId="3" applyNumberFormat="0" applyFill="0" applyAlignment="0" applyProtection="0"/>
    <xf numFmtId="0" fontId="36" fillId="0" borderId="48" applyNumberFormat="0" applyFill="0" applyAlignment="0" applyProtection="0"/>
    <xf numFmtId="0" fontId="17" fillId="0" borderId="4" applyNumberFormat="0" applyFill="0" applyAlignment="0" applyProtection="0"/>
    <xf numFmtId="0" fontId="37" fillId="0" borderId="49" applyNumberFormat="0" applyFill="0" applyAlignment="0" applyProtection="0"/>
    <xf numFmtId="0" fontId="18" fillId="0" borderId="5" applyNumberFormat="0" applyFill="0" applyAlignment="0" applyProtection="0"/>
    <xf numFmtId="0" fontId="37" fillId="0" borderId="0" applyNumberFormat="0" applyFill="0" applyBorder="0" applyAlignment="0" applyProtection="0"/>
    <xf numFmtId="0" fontId="18" fillId="0" borderId="0" applyNumberFormat="0" applyFill="0" applyBorder="0" applyAlignment="0" applyProtection="0"/>
    <xf numFmtId="0" fontId="38" fillId="52" borderId="45" applyNumberFormat="0" applyAlignment="0" applyProtection="0"/>
    <xf numFmtId="0" fontId="19" fillId="7" borderId="1" applyNumberFormat="0" applyAlignment="0" applyProtection="0"/>
    <xf numFmtId="0" fontId="39" fillId="0" borderId="50" applyNumberFormat="0" applyFill="0" applyAlignment="0" applyProtection="0"/>
    <xf numFmtId="0" fontId="20" fillId="0" borderId="6" applyNumberFormat="0" applyFill="0" applyAlignment="0" applyProtection="0"/>
    <xf numFmtId="0" fontId="40" fillId="53" borderId="0" applyNumberFormat="0" applyBorder="0" applyAlignment="0" applyProtection="0"/>
    <xf numFmtId="0" fontId="21" fillId="22"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32" fillId="0" borderId="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 fillId="0" borderId="0"/>
    <xf numFmtId="0" fontId="27" fillId="0" borderId="0"/>
    <xf numFmtId="0" fontId="2" fillId="23" borderId="7" applyNumberFormat="0" applyFont="0" applyAlignment="0" applyProtection="0"/>
    <xf numFmtId="0" fontId="27" fillId="54" borderId="51" applyNumberFormat="0" applyFont="0" applyAlignment="0" applyProtection="0"/>
    <xf numFmtId="0" fontId="27" fillId="54" borderId="51" applyNumberFormat="0" applyFont="0" applyAlignment="0" applyProtection="0"/>
    <xf numFmtId="0" fontId="41" fillId="49" borderId="52" applyNumberFormat="0" applyAlignment="0" applyProtection="0"/>
    <xf numFmtId="0" fontId="22"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2" fillId="0" borderId="0" applyNumberFormat="0" applyFill="0" applyBorder="0" applyAlignment="0" applyProtection="0"/>
    <xf numFmtId="0" fontId="23" fillId="0" borderId="0" applyNumberFormat="0" applyFill="0" applyBorder="0" applyAlignment="0" applyProtection="0"/>
    <xf numFmtId="0" fontId="43" fillId="0" borderId="0" applyNumberFormat="0" applyFill="0" applyBorder="0" applyAlignment="0" applyProtection="0"/>
    <xf numFmtId="0" fontId="44" fillId="0" borderId="53" applyNumberFormat="0" applyFill="0" applyAlignment="0" applyProtection="0"/>
    <xf numFmtId="0" fontId="24" fillId="0" borderId="9" applyNumberFormat="0" applyFill="0" applyAlignment="0" applyProtection="0"/>
    <xf numFmtId="0" fontId="45" fillId="0" borderId="0" applyNumberFormat="0" applyFill="0" applyBorder="0" applyAlignment="0" applyProtection="0"/>
    <xf numFmtId="0" fontId="25" fillId="0" borderId="0" applyNumberFormat="0" applyFill="0" applyBorder="0" applyAlignment="0" applyProtection="0"/>
    <xf numFmtId="9" fontId="27" fillId="0" borderId="0" applyFont="0" applyFill="0" applyBorder="0" applyAlignment="0" applyProtection="0"/>
  </cellStyleXfs>
  <cellXfs count="383">
    <xf numFmtId="0" fontId="0" fillId="0" borderId="0" xfId="0"/>
    <xf numFmtId="0" fontId="0" fillId="0" borderId="0" xfId="0" applyAlignment="1">
      <alignment vertical="top"/>
    </xf>
    <xf numFmtId="0" fontId="0" fillId="0" borderId="0" xfId="0" applyAlignment="1">
      <alignment vertical="top" wrapText="1"/>
    </xf>
    <xf numFmtId="0" fontId="44" fillId="55" borderId="0" xfId="0" applyFont="1" applyFill="1" applyAlignment="1">
      <alignment vertical="top"/>
    </xf>
    <xf numFmtId="0" fontId="44" fillId="56" borderId="10" xfId="0" applyFont="1" applyFill="1" applyBorder="1" applyAlignment="1">
      <alignment vertical="top"/>
    </xf>
    <xf numFmtId="0" fontId="44" fillId="56" borderId="11" xfId="0" applyFont="1" applyFill="1" applyBorder="1" applyAlignment="1">
      <alignment vertical="top" wrapText="1"/>
    </xf>
    <xf numFmtId="0" fontId="44" fillId="56" borderId="12" xfId="0" applyFont="1" applyFill="1" applyBorder="1" applyAlignment="1">
      <alignment vertical="top" wrapText="1"/>
    </xf>
    <xf numFmtId="0" fontId="44" fillId="56" borderId="13" xfId="0" applyFont="1" applyFill="1" applyBorder="1" applyAlignment="1">
      <alignment vertical="top"/>
    </xf>
    <xf numFmtId="9" fontId="44" fillId="56" borderId="0" xfId="0" applyNumberFormat="1" applyFont="1" applyFill="1" applyAlignment="1">
      <alignment vertical="top" wrapText="1"/>
    </xf>
    <xf numFmtId="0" fontId="44" fillId="56" borderId="14" xfId="0" applyFont="1" applyFill="1" applyBorder="1" applyAlignment="1">
      <alignment vertical="top" wrapText="1"/>
    </xf>
    <xf numFmtId="0" fontId="44" fillId="56" borderId="15" xfId="0" applyFont="1" applyFill="1" applyBorder="1" applyAlignment="1">
      <alignment vertical="top"/>
    </xf>
    <xf numFmtId="0" fontId="44" fillId="56" borderId="16" xfId="0" applyFont="1" applyFill="1" applyBorder="1" applyAlignment="1">
      <alignment vertical="top" wrapText="1"/>
    </xf>
    <xf numFmtId="0" fontId="44" fillId="56" borderId="17" xfId="0" applyFont="1" applyFill="1" applyBorder="1" applyAlignment="1">
      <alignment vertical="top" wrapText="1"/>
    </xf>
    <xf numFmtId="0" fontId="44" fillId="56" borderId="0" xfId="0" applyFont="1" applyFill="1" applyAlignment="1">
      <alignment vertical="top"/>
    </xf>
    <xf numFmtId="0" fontId="31" fillId="57" borderId="0" xfId="0" applyFont="1" applyFill="1" applyAlignment="1">
      <alignment horizontal="center" wrapText="1"/>
    </xf>
    <xf numFmtId="39" fontId="0" fillId="0" borderId="0" xfId="0" applyNumberFormat="1" applyAlignment="1">
      <alignment vertical="top" wrapText="1"/>
    </xf>
    <xf numFmtId="9" fontId="0" fillId="0" borderId="0" xfId="0" applyNumberFormat="1" applyAlignment="1">
      <alignment vertical="top"/>
    </xf>
    <xf numFmtId="0" fontId="28" fillId="57" borderId="0" xfId="0" applyFont="1" applyFill="1" applyAlignment="1">
      <alignment vertical="top"/>
    </xf>
    <xf numFmtId="39" fontId="28" fillId="57" borderId="0" xfId="0" applyNumberFormat="1" applyFont="1" applyFill="1" applyAlignment="1">
      <alignment vertical="top" wrapText="1"/>
    </xf>
    <xf numFmtId="9" fontId="28" fillId="57" borderId="0" xfId="0" applyNumberFormat="1" applyFont="1" applyFill="1" applyAlignment="1">
      <alignment vertical="top"/>
    </xf>
    <xf numFmtId="0" fontId="2" fillId="0" borderId="0" xfId="0" applyFont="1"/>
    <xf numFmtId="9" fontId="0" fillId="0" borderId="0" xfId="0" applyNumberFormat="1"/>
    <xf numFmtId="7" fontId="44" fillId="56" borderId="0" xfId="0" applyNumberFormat="1" applyFont="1" applyFill="1" applyAlignment="1">
      <alignment vertical="top" wrapText="1"/>
    </xf>
    <xf numFmtId="0" fontId="28" fillId="0" borderId="0" xfId="0" applyFont="1" applyAlignment="1">
      <alignment horizontal="center" vertical="top" wrapText="1"/>
    </xf>
    <xf numFmtId="0" fontId="44" fillId="0" borderId="0" xfId="0" applyFont="1" applyAlignment="1">
      <alignment vertical="top"/>
    </xf>
    <xf numFmtId="0" fontId="46" fillId="0" borderId="0" xfId="0" applyFont="1" applyAlignment="1">
      <alignment vertical="top"/>
    </xf>
    <xf numFmtId="0" fontId="47" fillId="0" borderId="0" xfId="0" applyFont="1" applyAlignment="1">
      <alignment vertical="top"/>
    </xf>
    <xf numFmtId="0" fontId="48" fillId="0" borderId="0" xfId="0" applyFont="1" applyAlignment="1">
      <alignment vertical="top"/>
    </xf>
    <xf numFmtId="0" fontId="0" fillId="0" borderId="18" xfId="0" applyBorder="1" applyAlignment="1">
      <alignment vertical="top" wrapText="1"/>
    </xf>
    <xf numFmtId="0" fontId="28" fillId="0" borderId="0" xfId="0" applyFont="1" applyAlignment="1">
      <alignment vertical="top"/>
    </xf>
    <xf numFmtId="0" fontId="31" fillId="0" borderId="0" xfId="0" applyFont="1" applyAlignment="1">
      <alignment vertical="top" wrapText="1"/>
    </xf>
    <xf numFmtId="39" fontId="31" fillId="0" borderId="0" xfId="0" applyNumberFormat="1" applyFont="1" applyAlignment="1">
      <alignment vertical="top"/>
    </xf>
    <xf numFmtId="37" fontId="31" fillId="0" borderId="0" xfId="0" applyNumberFormat="1" applyFont="1" applyAlignment="1">
      <alignment vertical="top"/>
    </xf>
    <xf numFmtId="0" fontId="44" fillId="0" borderId="0" xfId="0" applyFont="1" applyAlignment="1">
      <alignment vertical="top" wrapText="1"/>
    </xf>
    <xf numFmtId="39" fontId="44" fillId="0" borderId="0" xfId="0" applyNumberFormat="1" applyFont="1" applyAlignment="1">
      <alignment vertical="top"/>
    </xf>
    <xf numFmtId="0" fontId="48" fillId="58" borderId="0" xfId="0" applyFont="1" applyFill="1" applyAlignment="1">
      <alignment vertical="top"/>
    </xf>
    <xf numFmtId="0" fontId="49" fillId="58" borderId="0" xfId="0" applyFont="1" applyFill="1" applyAlignment="1">
      <alignment vertical="top" wrapText="1"/>
    </xf>
    <xf numFmtId="0" fontId="49" fillId="58" borderId="0" xfId="0" applyFont="1" applyFill="1" applyAlignment="1">
      <alignment vertical="top"/>
    </xf>
    <xf numFmtId="0" fontId="28" fillId="58" borderId="0" xfId="0" applyFont="1" applyFill="1" applyAlignment="1">
      <alignment vertical="top"/>
    </xf>
    <xf numFmtId="0" fontId="31" fillId="58" borderId="0" xfId="0" applyFont="1" applyFill="1" applyAlignment="1">
      <alignment vertical="top" wrapText="1"/>
    </xf>
    <xf numFmtId="0" fontId="31" fillId="58" borderId="0" xfId="0" applyFont="1" applyFill="1" applyAlignment="1">
      <alignment vertical="top"/>
    </xf>
    <xf numFmtId="0" fontId="50" fillId="0" borderId="0" xfId="0" applyFont="1" applyAlignment="1">
      <alignment vertical="top"/>
    </xf>
    <xf numFmtId="0" fontId="49" fillId="59" borderId="0" xfId="0" applyFont="1" applyFill="1" applyAlignment="1">
      <alignment vertical="top" wrapText="1"/>
    </xf>
    <xf numFmtId="0" fontId="49" fillId="59" borderId="0" xfId="0" applyFont="1" applyFill="1" applyAlignment="1">
      <alignment vertical="top"/>
    </xf>
    <xf numFmtId="39" fontId="49" fillId="59" borderId="0" xfId="0" applyNumberFormat="1" applyFont="1" applyFill="1" applyAlignment="1">
      <alignment vertical="top"/>
    </xf>
    <xf numFmtId="0" fontId="0" fillId="58" borderId="0" xfId="0" applyFill="1" applyAlignment="1">
      <alignment vertical="top"/>
    </xf>
    <xf numFmtId="0" fontId="44" fillId="59" borderId="0" xfId="0" applyFont="1" applyFill="1" applyAlignment="1">
      <alignment vertical="top" wrapText="1"/>
    </xf>
    <xf numFmtId="39" fontId="44" fillId="59" borderId="0" xfId="0" applyNumberFormat="1" applyFont="1" applyFill="1" applyAlignment="1">
      <alignment vertical="top"/>
    </xf>
    <xf numFmtId="0" fontId="44" fillId="59" borderId="0" xfId="0" applyFont="1" applyFill="1" applyAlignment="1">
      <alignment vertical="top"/>
    </xf>
    <xf numFmtId="0" fontId="44" fillId="58" borderId="0" xfId="0" applyFont="1" applyFill="1" applyAlignment="1">
      <alignment vertical="top"/>
    </xf>
    <xf numFmtId="0" fontId="44" fillId="58" borderId="0" xfId="0" applyFont="1" applyFill="1" applyAlignment="1">
      <alignment vertical="top" wrapText="1"/>
    </xf>
    <xf numFmtId="39" fontId="44" fillId="58" borderId="0" xfId="0" applyNumberFormat="1" applyFont="1" applyFill="1" applyAlignment="1">
      <alignment vertical="top"/>
    </xf>
    <xf numFmtId="0" fontId="51" fillId="0" borderId="0" xfId="0" applyFont="1" applyAlignment="1">
      <alignment vertical="top"/>
    </xf>
    <xf numFmtId="0" fontId="52" fillId="60" borderId="19" xfId="0" applyFont="1" applyFill="1" applyBorder="1" applyAlignment="1">
      <alignment vertical="top"/>
    </xf>
    <xf numFmtId="0" fontId="53" fillId="60" borderId="20" xfId="0" applyFont="1" applyFill="1" applyBorder="1" applyAlignment="1">
      <alignment vertical="top" wrapText="1"/>
    </xf>
    <xf numFmtId="0" fontId="53" fillId="60" borderId="20" xfId="0" applyFont="1" applyFill="1" applyBorder="1" applyAlignment="1">
      <alignment vertical="top"/>
    </xf>
    <xf numFmtId="0" fontId="53" fillId="60" borderId="21" xfId="0" applyFont="1" applyFill="1" applyBorder="1" applyAlignment="1">
      <alignment vertical="top"/>
    </xf>
    <xf numFmtId="0" fontId="52" fillId="61" borderId="19" xfId="0" applyFont="1" applyFill="1" applyBorder="1" applyAlignment="1">
      <alignment vertical="top"/>
    </xf>
    <xf numFmtId="0" fontId="52" fillId="62" borderId="19" xfId="0" applyFont="1" applyFill="1" applyBorder="1" applyAlignment="1">
      <alignment vertical="top"/>
    </xf>
    <xf numFmtId="0" fontId="52" fillId="62" borderId="20" xfId="0" applyFont="1" applyFill="1" applyBorder="1" applyAlignment="1">
      <alignment vertical="top" wrapText="1"/>
    </xf>
    <xf numFmtId="0" fontId="52" fillId="62" borderId="20" xfId="0" applyFont="1" applyFill="1" applyBorder="1" applyAlignment="1">
      <alignment vertical="top"/>
    </xf>
    <xf numFmtId="0" fontId="52" fillId="62" borderId="21" xfId="0" applyFont="1" applyFill="1" applyBorder="1" applyAlignment="1">
      <alignment vertical="top"/>
    </xf>
    <xf numFmtId="0" fontId="44" fillId="63" borderId="19" xfId="0" applyFont="1" applyFill="1" applyBorder="1" applyAlignment="1">
      <alignment vertical="top"/>
    </xf>
    <xf numFmtId="0" fontId="51" fillId="0" borderId="18" xfId="0" applyFont="1" applyBorder="1" applyAlignment="1">
      <alignment vertical="top"/>
    </xf>
    <xf numFmtId="0" fontId="51" fillId="0" borderId="18" xfId="0" applyFont="1" applyBorder="1" applyAlignment="1">
      <alignment vertical="top" wrapText="1"/>
    </xf>
    <xf numFmtId="39" fontId="51" fillId="0" borderId="18" xfId="0" applyNumberFormat="1" applyFont="1" applyBorder="1" applyAlignment="1">
      <alignment vertical="top" wrapText="1"/>
    </xf>
    <xf numFmtId="39" fontId="51" fillId="0" borderId="18" xfId="0" applyNumberFormat="1" applyFont="1" applyBorder="1" applyAlignment="1">
      <alignment vertical="top"/>
    </xf>
    <xf numFmtId="0" fontId="51" fillId="0" borderId="18" xfId="0" applyFont="1" applyBorder="1" applyAlignment="1">
      <alignment horizontal="center" vertical="top"/>
    </xf>
    <xf numFmtId="0" fontId="54" fillId="56" borderId="19" xfId="0" applyFont="1" applyFill="1" applyBorder="1" applyAlignment="1">
      <alignment vertical="top"/>
    </xf>
    <xf numFmtId="0" fontId="54" fillId="56" borderId="20" xfId="0" applyFont="1" applyFill="1" applyBorder="1" applyAlignment="1">
      <alignment vertical="top" wrapText="1"/>
    </xf>
    <xf numFmtId="0" fontId="54" fillId="56" borderId="54" xfId="0" applyFont="1" applyFill="1" applyBorder="1" applyAlignment="1">
      <alignment vertical="top"/>
    </xf>
    <xf numFmtId="0" fontId="54" fillId="56" borderId="54" xfId="0" applyFont="1" applyFill="1" applyBorder="1" applyAlignment="1">
      <alignment vertical="top" wrapText="1"/>
    </xf>
    <xf numFmtId="0" fontId="52" fillId="64" borderId="22" xfId="0" applyFont="1" applyFill="1" applyBorder="1" applyAlignment="1">
      <alignment vertical="top"/>
    </xf>
    <xf numFmtId="0" fontId="52" fillId="64" borderId="23" xfId="0" applyFont="1" applyFill="1" applyBorder="1" applyAlignment="1">
      <alignment vertical="top" wrapText="1"/>
    </xf>
    <xf numFmtId="39" fontId="52" fillId="64" borderId="23" xfId="0" applyNumberFormat="1" applyFont="1" applyFill="1" applyBorder="1" applyAlignment="1">
      <alignment vertical="top"/>
    </xf>
    <xf numFmtId="0" fontId="52" fillId="64" borderId="23" xfId="0" applyFont="1" applyFill="1" applyBorder="1" applyAlignment="1">
      <alignment vertical="top"/>
    </xf>
    <xf numFmtId="0" fontId="52" fillId="64" borderId="24" xfId="0" applyFont="1" applyFill="1" applyBorder="1" applyAlignment="1">
      <alignment vertical="top"/>
    </xf>
    <xf numFmtId="0" fontId="54" fillId="56" borderId="25" xfId="0" applyFont="1" applyFill="1" applyBorder="1" applyAlignment="1">
      <alignment horizontal="center" vertical="top" wrapText="1"/>
    </xf>
    <xf numFmtId="0" fontId="54" fillId="56" borderId="26" xfId="0" applyFont="1" applyFill="1" applyBorder="1" applyAlignment="1">
      <alignment horizontal="center" vertical="top" wrapText="1"/>
    </xf>
    <xf numFmtId="39" fontId="54" fillId="56" borderId="26" xfId="0" applyNumberFormat="1" applyFont="1" applyFill="1" applyBorder="1" applyAlignment="1">
      <alignment horizontal="center" vertical="top" wrapText="1"/>
    </xf>
    <xf numFmtId="0" fontId="54" fillId="56" borderId="27" xfId="0" applyFont="1" applyFill="1" applyBorder="1" applyAlignment="1">
      <alignment horizontal="center" vertical="top" wrapText="1"/>
    </xf>
    <xf numFmtId="0" fontId="55" fillId="58" borderId="0" xfId="0" applyFont="1" applyFill="1" applyAlignment="1">
      <alignment horizontal="center" vertical="top"/>
    </xf>
    <xf numFmtId="0" fontId="52" fillId="61" borderId="22" xfId="0" applyFont="1" applyFill="1" applyBorder="1" applyAlignment="1">
      <alignment vertical="top"/>
    </xf>
    <xf numFmtId="0" fontId="52" fillId="61" borderId="23" xfId="0" applyFont="1" applyFill="1" applyBorder="1" applyAlignment="1">
      <alignment vertical="top" wrapText="1"/>
    </xf>
    <xf numFmtId="39" fontId="52" fillId="61" borderId="23" xfId="0" applyNumberFormat="1" applyFont="1" applyFill="1" applyBorder="1" applyAlignment="1">
      <alignment vertical="top"/>
    </xf>
    <xf numFmtId="0" fontId="52" fillId="61" borderId="23" xfId="0" applyFont="1" applyFill="1" applyBorder="1" applyAlignment="1">
      <alignment vertical="top"/>
    </xf>
    <xf numFmtId="0" fontId="52" fillId="61" borderId="24" xfId="0" applyFont="1" applyFill="1" applyBorder="1" applyAlignment="1">
      <alignment vertical="top"/>
    </xf>
    <xf numFmtId="0" fontId="54" fillId="65" borderId="18" xfId="0" applyFont="1" applyFill="1" applyBorder="1" applyAlignment="1">
      <alignment vertical="top" wrapText="1"/>
    </xf>
    <xf numFmtId="39" fontId="54" fillId="65" borderId="18" xfId="0" applyNumberFormat="1" applyFont="1" applyFill="1" applyBorder="1" applyAlignment="1">
      <alignment vertical="top"/>
    </xf>
    <xf numFmtId="0" fontId="50" fillId="66" borderId="18" xfId="0" applyFont="1" applyFill="1" applyBorder="1" applyAlignment="1">
      <alignment vertical="top"/>
    </xf>
    <xf numFmtId="0" fontId="54" fillId="67" borderId="18" xfId="0" applyFont="1" applyFill="1" applyBorder="1" applyAlignment="1">
      <alignment vertical="top" wrapText="1"/>
    </xf>
    <xf numFmtId="0" fontId="50" fillId="68" borderId="18" xfId="0" applyFont="1" applyFill="1" applyBorder="1" applyAlignment="1">
      <alignment vertical="top"/>
    </xf>
    <xf numFmtId="0" fontId="50" fillId="69" borderId="18" xfId="0" applyFont="1" applyFill="1" applyBorder="1" applyAlignment="1">
      <alignment vertical="top"/>
    </xf>
    <xf numFmtId="0" fontId="54" fillId="70" borderId="18" xfId="0" applyFont="1" applyFill="1" applyBorder="1" applyAlignment="1">
      <alignment vertical="top" wrapText="1"/>
    </xf>
    <xf numFmtId="0" fontId="51" fillId="71" borderId="18" xfId="0" applyFont="1" applyFill="1" applyBorder="1" applyAlignment="1">
      <alignment vertical="top"/>
    </xf>
    <xf numFmtId="0" fontId="50" fillId="72" borderId="18" xfId="0" applyFont="1" applyFill="1" applyBorder="1" applyAlignment="1">
      <alignment vertical="top"/>
    </xf>
    <xf numFmtId="0" fontId="54" fillId="73" borderId="18" xfId="0" applyFont="1" applyFill="1" applyBorder="1" applyAlignment="1">
      <alignment vertical="top" wrapText="1"/>
    </xf>
    <xf numFmtId="39" fontId="54" fillId="73" borderId="18" xfId="0" applyNumberFormat="1" applyFont="1" applyFill="1" applyBorder="1" applyAlignment="1">
      <alignment vertical="top"/>
    </xf>
    <xf numFmtId="0" fontId="54" fillId="74" borderId="20" xfId="0" applyFont="1" applyFill="1" applyBorder="1" applyAlignment="1">
      <alignment vertical="top" wrapText="1"/>
    </xf>
    <xf numFmtId="0" fontId="54" fillId="67" borderId="18" xfId="0" applyFont="1" applyFill="1" applyBorder="1" applyAlignment="1">
      <alignment horizontal="center" vertical="top"/>
    </xf>
    <xf numFmtId="37" fontId="51" fillId="0" borderId="18" xfId="0" applyNumberFormat="1" applyFont="1" applyBorder="1" applyAlignment="1">
      <alignment horizontal="center" vertical="top"/>
    </xf>
    <xf numFmtId="0" fontId="54" fillId="70" borderId="18" xfId="0" applyFont="1" applyFill="1" applyBorder="1" applyAlignment="1">
      <alignment horizontal="center" vertical="top"/>
    </xf>
    <xf numFmtId="0" fontId="54" fillId="56" borderId="54" xfId="0" applyFont="1" applyFill="1" applyBorder="1" applyAlignment="1">
      <alignment horizontal="center" vertical="top"/>
    </xf>
    <xf numFmtId="0" fontId="54" fillId="56" borderId="20" xfId="0" applyFont="1" applyFill="1" applyBorder="1" applyAlignment="1">
      <alignment horizontal="center" vertical="top"/>
    </xf>
    <xf numFmtId="0" fontId="54" fillId="56" borderId="21" xfId="0" applyFont="1" applyFill="1" applyBorder="1" applyAlignment="1">
      <alignment horizontal="center" vertical="top"/>
    </xf>
    <xf numFmtId="0" fontId="54" fillId="74" borderId="20" xfId="0" applyFont="1" applyFill="1" applyBorder="1" applyAlignment="1">
      <alignment horizontal="center" vertical="top"/>
    </xf>
    <xf numFmtId="0" fontId="54" fillId="74" borderId="21" xfId="0" applyFont="1" applyFill="1" applyBorder="1" applyAlignment="1">
      <alignment horizontal="center" vertical="top"/>
    </xf>
    <xf numFmtId="37" fontId="54" fillId="73" borderId="18" xfId="0" applyNumberFormat="1" applyFont="1" applyFill="1" applyBorder="1" applyAlignment="1">
      <alignment horizontal="center" vertical="top"/>
    </xf>
    <xf numFmtId="0" fontId="56" fillId="75" borderId="0" xfId="0" applyFont="1" applyFill="1" applyAlignment="1">
      <alignment vertical="top"/>
    </xf>
    <xf numFmtId="0" fontId="49" fillId="0" borderId="0" xfId="0" applyFont="1" applyAlignment="1">
      <alignment vertical="top"/>
    </xf>
    <xf numFmtId="165" fontId="44" fillId="56" borderId="0" xfId="0" applyNumberFormat="1" applyFont="1" applyFill="1" applyAlignment="1">
      <alignment vertical="top" wrapText="1"/>
    </xf>
    <xf numFmtId="164" fontId="44" fillId="56" borderId="0" xfId="0" applyNumberFormat="1" applyFont="1" applyFill="1" applyAlignment="1">
      <alignment vertical="top" wrapText="1"/>
    </xf>
    <xf numFmtId="0" fontId="51" fillId="0" borderId="18" xfId="0" applyFont="1" applyBorder="1" applyAlignment="1">
      <alignment horizontal="center" vertical="center"/>
    </xf>
    <xf numFmtId="9" fontId="0" fillId="0" borderId="0" xfId="0" applyNumberFormat="1" applyAlignment="1">
      <alignment vertical="top" wrapText="1"/>
    </xf>
    <xf numFmtId="0" fontId="54" fillId="65" borderId="18" xfId="0" applyFont="1" applyFill="1" applyBorder="1" applyAlignment="1">
      <alignment horizontal="center" vertical="top"/>
    </xf>
    <xf numFmtId="39" fontId="0" fillId="0" borderId="0" xfId="0" applyNumberFormat="1" applyAlignment="1">
      <alignment vertical="top"/>
    </xf>
    <xf numFmtId="0" fontId="0" fillId="0" borderId="0" xfId="0" applyAlignment="1">
      <alignment wrapText="1"/>
    </xf>
    <xf numFmtId="4" fontId="57" fillId="0" borderId="0" xfId="0" applyNumberFormat="1" applyFont="1"/>
    <xf numFmtId="4" fontId="58" fillId="0" borderId="0" xfId="0" applyNumberFormat="1" applyFont="1"/>
    <xf numFmtId="0" fontId="54" fillId="56" borderId="55" xfId="0" applyFont="1" applyFill="1" applyBorder="1" applyAlignment="1">
      <alignment vertical="top"/>
    </xf>
    <xf numFmtId="0" fontId="54" fillId="56" borderId="56" xfId="0" applyFont="1" applyFill="1" applyBorder="1" applyAlignment="1">
      <alignment vertical="top" wrapText="1"/>
    </xf>
    <xf numFmtId="0" fontId="54" fillId="56" borderId="56" xfId="0" applyFont="1" applyFill="1" applyBorder="1" applyAlignment="1">
      <alignment horizontal="center" vertical="top"/>
    </xf>
    <xf numFmtId="0" fontId="3" fillId="0" borderId="18" xfId="0" applyFont="1" applyBorder="1" applyAlignment="1">
      <alignment vertical="top" wrapText="1"/>
    </xf>
    <xf numFmtId="0" fontId="59" fillId="0" borderId="0" xfId="0" applyFont="1" applyAlignment="1">
      <alignment vertical="top"/>
    </xf>
    <xf numFmtId="4" fontId="48" fillId="0" borderId="0" xfId="0" applyNumberFormat="1" applyFont="1"/>
    <xf numFmtId="3" fontId="48" fillId="0" borderId="0" xfId="0" applyNumberFormat="1" applyFont="1"/>
    <xf numFmtId="4" fontId="0" fillId="0" borderId="0" xfId="0" applyNumberFormat="1" applyAlignment="1">
      <alignment vertical="top"/>
    </xf>
    <xf numFmtId="37" fontId="54" fillId="56" borderId="54" xfId="0" applyNumberFormat="1" applyFont="1" applyFill="1" applyBorder="1" applyAlignment="1">
      <alignment horizontal="center" vertical="top"/>
    </xf>
    <xf numFmtId="37" fontId="54" fillId="56" borderId="20" xfId="0" applyNumberFormat="1" applyFont="1" applyFill="1" applyBorder="1" applyAlignment="1">
      <alignment horizontal="center" vertical="top"/>
    </xf>
    <xf numFmtId="37" fontId="54" fillId="70" borderId="18" xfId="0" applyNumberFormat="1" applyFont="1" applyFill="1" applyBorder="1" applyAlignment="1">
      <alignment horizontal="center" vertical="top"/>
    </xf>
    <xf numFmtId="164" fontId="51" fillId="0" borderId="18" xfId="0" applyNumberFormat="1" applyFont="1" applyBorder="1" applyAlignment="1">
      <alignment vertical="top"/>
    </xf>
    <xf numFmtId="164" fontId="31" fillId="58" borderId="0" xfId="0" applyNumberFormat="1" applyFont="1" applyFill="1" applyAlignment="1">
      <alignment vertical="top"/>
    </xf>
    <xf numFmtId="164" fontId="53" fillId="60" borderId="20" xfId="0" applyNumberFormat="1" applyFont="1" applyFill="1" applyBorder="1" applyAlignment="1">
      <alignment vertical="top"/>
    </xf>
    <xf numFmtId="164" fontId="54" fillId="65" borderId="18" xfId="0" applyNumberFormat="1" applyFont="1" applyFill="1" applyBorder="1" applyAlignment="1">
      <alignment vertical="top"/>
    </xf>
    <xf numFmtId="164" fontId="49" fillId="58" borderId="0" xfId="0" applyNumberFormat="1" applyFont="1" applyFill="1" applyAlignment="1">
      <alignment vertical="top"/>
    </xf>
    <xf numFmtId="164" fontId="49" fillId="59" borderId="0" xfId="0" applyNumberFormat="1" applyFont="1" applyFill="1" applyAlignment="1">
      <alignment vertical="top"/>
    </xf>
    <xf numFmtId="164" fontId="52" fillId="62" borderId="20" xfId="0" applyNumberFormat="1" applyFont="1" applyFill="1" applyBorder="1" applyAlignment="1">
      <alignment vertical="top"/>
    </xf>
    <xf numFmtId="164" fontId="54" fillId="70" borderId="18" xfId="0" applyNumberFormat="1" applyFont="1" applyFill="1" applyBorder="1" applyAlignment="1">
      <alignment vertical="top"/>
    </xf>
    <xf numFmtId="0" fontId="0" fillId="0" borderId="28" xfId="0" applyBorder="1" applyAlignment="1">
      <alignment vertical="top"/>
    </xf>
    <xf numFmtId="0" fontId="54" fillId="0" borderId="0" xfId="0" applyFont="1" applyAlignment="1">
      <alignment horizontal="center" vertical="top" wrapText="1"/>
    </xf>
    <xf numFmtId="165" fontId="44" fillId="56" borderId="16" xfId="0" applyNumberFormat="1" applyFont="1" applyFill="1" applyBorder="1" applyAlignment="1">
      <alignment vertical="top" wrapText="1"/>
    </xf>
    <xf numFmtId="0" fontId="54" fillId="0" borderId="54" xfId="0" applyFont="1" applyBorder="1" applyAlignment="1">
      <alignment vertical="top"/>
    </xf>
    <xf numFmtId="0" fontId="54" fillId="0" borderId="54" xfId="0" applyFont="1" applyBorder="1" applyAlignment="1">
      <alignment vertical="top" wrapText="1"/>
    </xf>
    <xf numFmtId="164" fontId="54" fillId="0" borderId="54" xfId="0" applyNumberFormat="1" applyFont="1" applyBorder="1" applyAlignment="1">
      <alignment vertical="top"/>
    </xf>
    <xf numFmtId="0" fontId="54" fillId="0" borderId="54" xfId="0" applyFont="1" applyBorder="1" applyAlignment="1">
      <alignment horizontal="center" vertical="top"/>
    </xf>
    <xf numFmtId="0" fontId="54" fillId="76" borderId="54" xfId="0" applyFont="1" applyFill="1" applyBorder="1" applyAlignment="1">
      <alignment vertical="top"/>
    </xf>
    <xf numFmtId="0" fontId="54" fillId="76" borderId="54" xfId="0" applyFont="1" applyFill="1" applyBorder="1" applyAlignment="1">
      <alignment vertical="top" wrapText="1"/>
    </xf>
    <xf numFmtId="164" fontId="54" fillId="76" borderId="54" xfId="0" applyNumberFormat="1" applyFont="1" applyFill="1" applyBorder="1" applyAlignment="1">
      <alignment vertical="top"/>
    </xf>
    <xf numFmtId="0" fontId="54" fillId="76" borderId="54" xfId="0" applyFont="1" applyFill="1" applyBorder="1" applyAlignment="1">
      <alignment horizontal="center" vertical="top"/>
    </xf>
    <xf numFmtId="39" fontId="54" fillId="77" borderId="29" xfId="0" applyNumberFormat="1" applyFont="1" applyFill="1" applyBorder="1" applyAlignment="1">
      <alignment vertical="top" wrapText="1"/>
    </xf>
    <xf numFmtId="39" fontId="54" fillId="77" borderId="30" xfId="0" applyNumberFormat="1" applyFont="1" applyFill="1" applyBorder="1" applyAlignment="1">
      <alignment vertical="top" wrapText="1"/>
    </xf>
    <xf numFmtId="39" fontId="54" fillId="77" borderId="31" xfId="0" applyNumberFormat="1" applyFont="1" applyFill="1" applyBorder="1" applyAlignment="1">
      <alignment vertical="top" wrapText="1"/>
    </xf>
    <xf numFmtId="39" fontId="54" fillId="77" borderId="30" xfId="0" applyNumberFormat="1" applyFont="1" applyFill="1" applyBorder="1" applyAlignment="1">
      <alignment horizontal="center" vertical="top" wrapText="1"/>
    </xf>
    <xf numFmtId="0" fontId="51" fillId="0" borderId="18" xfId="0" applyFont="1" applyBorder="1" applyAlignment="1">
      <alignment horizontal="center" vertical="center" wrapText="1"/>
    </xf>
    <xf numFmtId="164" fontId="0" fillId="0" borderId="0" xfId="0" applyNumberFormat="1" applyAlignment="1">
      <alignment vertical="top"/>
    </xf>
    <xf numFmtId="0" fontId="51" fillId="0" borderId="18" xfId="0" applyFont="1" applyBorder="1" applyAlignment="1">
      <alignment horizontal="left" vertical="top" wrapText="1"/>
    </xf>
    <xf numFmtId="9" fontId="44" fillId="56" borderId="0" xfId="0" applyNumberFormat="1" applyFont="1" applyFill="1" applyAlignment="1">
      <alignment horizontal="right" vertical="top" wrapText="1"/>
    </xf>
    <xf numFmtId="0" fontId="51" fillId="0" borderId="18" xfId="0" applyFont="1" applyBorder="1" applyAlignment="1">
      <alignment horizontal="center" vertical="top" wrapText="1"/>
    </xf>
    <xf numFmtId="44" fontId="51" fillId="0" borderId="18" xfId="0" applyNumberFormat="1" applyFont="1" applyBorder="1" applyAlignment="1">
      <alignment vertical="top"/>
    </xf>
    <xf numFmtId="44" fontId="44" fillId="0" borderId="0" xfId="0" applyNumberFormat="1" applyFont="1" applyAlignment="1">
      <alignment vertical="top"/>
    </xf>
    <xf numFmtId="44" fontId="54" fillId="56" borderId="20" xfId="0" applyNumberFormat="1" applyFont="1" applyFill="1" applyBorder="1" applyAlignment="1">
      <alignment vertical="top"/>
    </xf>
    <xf numFmtId="44" fontId="0" fillId="0" borderId="18" xfId="0" applyNumberFormat="1" applyBorder="1" applyAlignment="1">
      <alignment vertical="top"/>
    </xf>
    <xf numFmtId="44" fontId="54" fillId="74" borderId="20" xfId="0" applyNumberFormat="1" applyFont="1" applyFill="1" applyBorder="1" applyAlignment="1">
      <alignment vertical="top"/>
    </xf>
    <xf numFmtId="44" fontId="51" fillId="0" borderId="18" xfId="0" applyNumberFormat="1" applyFont="1" applyBorder="1" applyAlignment="1">
      <alignment horizontal="right" vertical="top"/>
    </xf>
    <xf numFmtId="44" fontId="54" fillId="67" borderId="18" xfId="0" applyNumberFormat="1" applyFont="1" applyFill="1" applyBorder="1" applyAlignment="1">
      <alignment vertical="top"/>
    </xf>
    <xf numFmtId="44" fontId="44" fillId="59" borderId="0" xfId="0" applyNumberFormat="1" applyFont="1" applyFill="1" applyAlignment="1">
      <alignment vertical="top"/>
    </xf>
    <xf numFmtId="44" fontId="54" fillId="56" borderId="54" xfId="0" applyNumberFormat="1" applyFont="1" applyFill="1" applyBorder="1" applyAlignment="1">
      <alignment vertical="top"/>
    </xf>
    <xf numFmtId="44" fontId="44" fillId="58" borderId="0" xfId="0" applyNumberFormat="1" applyFont="1" applyFill="1" applyAlignment="1">
      <alignment vertical="top"/>
    </xf>
    <xf numFmtId="44" fontId="54" fillId="0" borderId="54" xfId="0" applyNumberFormat="1" applyFont="1" applyBorder="1" applyAlignment="1">
      <alignment vertical="top"/>
    </xf>
    <xf numFmtId="44" fontId="49" fillId="74" borderId="20" xfId="0" applyNumberFormat="1" applyFont="1" applyFill="1" applyBorder="1" applyAlignment="1">
      <alignment vertical="top"/>
    </xf>
    <xf numFmtId="44" fontId="49" fillId="56" borderId="56" xfId="0" applyNumberFormat="1" applyFont="1" applyFill="1" applyBorder="1" applyAlignment="1">
      <alignment vertical="top"/>
    </xf>
    <xf numFmtId="0" fontId="56" fillId="56" borderId="26" xfId="0" applyFont="1" applyFill="1" applyBorder="1" applyAlignment="1">
      <alignment horizontal="center" vertical="top" wrapText="1"/>
    </xf>
    <xf numFmtId="44" fontId="0" fillId="0" borderId="0" xfId="0" applyNumberFormat="1" applyAlignment="1">
      <alignment vertical="top"/>
    </xf>
    <xf numFmtId="39" fontId="60" fillId="0" borderId="0" xfId="0" applyNumberFormat="1" applyFont="1" applyAlignment="1">
      <alignment vertical="top"/>
    </xf>
    <xf numFmtId="10" fontId="0" fillId="0" borderId="0" xfId="0" applyNumberFormat="1" applyAlignment="1">
      <alignment vertical="top"/>
    </xf>
    <xf numFmtId="0" fontId="61" fillId="0" borderId="0" xfId="0" applyFont="1" applyAlignment="1">
      <alignment vertical="top"/>
    </xf>
    <xf numFmtId="44" fontId="0" fillId="0" borderId="18" xfId="0" applyNumberFormat="1" applyBorder="1" applyAlignment="1">
      <alignment horizontal="center" vertical="top"/>
    </xf>
    <xf numFmtId="44" fontId="50" fillId="0" borderId="0" xfId="0" applyNumberFormat="1" applyFont="1" applyAlignment="1">
      <alignment vertical="top"/>
    </xf>
    <xf numFmtId="39" fontId="63" fillId="0" borderId="20" xfId="0" applyNumberFormat="1" applyFont="1" applyBorder="1" applyAlignment="1">
      <alignment horizontal="center" vertical="top" wrapText="1"/>
    </xf>
    <xf numFmtId="44" fontId="54" fillId="74" borderId="20" xfId="0" applyNumberFormat="1" applyFont="1" applyFill="1" applyBorder="1" applyAlignment="1">
      <alignment horizontal="center" vertical="top"/>
    </xf>
    <xf numFmtId="3" fontId="64" fillId="0" borderId="0" xfId="0" applyNumberFormat="1" applyFont="1"/>
    <xf numFmtId="3" fontId="64" fillId="78" borderId="0" xfId="0" applyNumberFormat="1" applyFont="1" applyFill="1"/>
    <xf numFmtId="0" fontId="51" fillId="0" borderId="21" xfId="0" applyFont="1" applyBorder="1" applyAlignment="1">
      <alignment horizontal="left" vertical="center"/>
    </xf>
    <xf numFmtId="0" fontId="0" fillId="0" borderId="57" xfId="0" applyBorder="1"/>
    <xf numFmtId="0" fontId="0" fillId="0" borderId="57" xfId="0" pivotButton="1" applyBorder="1"/>
    <xf numFmtId="0" fontId="0" fillId="0" borderId="58" xfId="0" applyBorder="1"/>
    <xf numFmtId="0" fontId="0" fillId="0" borderId="59" xfId="0" applyBorder="1"/>
    <xf numFmtId="0" fontId="0" fillId="0" borderId="60" xfId="0" applyBorder="1"/>
    <xf numFmtId="9" fontId="0" fillId="0" borderId="57" xfId="0" applyNumberFormat="1" applyBorder="1"/>
    <xf numFmtId="9" fontId="0" fillId="0" borderId="59" xfId="0" applyNumberFormat="1" applyBorder="1"/>
    <xf numFmtId="9" fontId="0" fillId="0" borderId="60" xfId="0" applyNumberFormat="1" applyBorder="1"/>
    <xf numFmtId="9" fontId="0" fillId="0" borderId="61" xfId="0" applyNumberFormat="1" applyBorder="1"/>
    <xf numFmtId="39" fontId="0" fillId="0" borderId="58" xfId="0" applyNumberFormat="1" applyBorder="1"/>
    <xf numFmtId="39" fontId="0" fillId="0" borderId="62" xfId="0" applyNumberFormat="1" applyBorder="1"/>
    <xf numFmtId="39" fontId="0" fillId="0" borderId="63" xfId="0" applyNumberFormat="1" applyBorder="1"/>
    <xf numFmtId="44" fontId="51" fillId="0" borderId="0" xfId="0" applyNumberFormat="1" applyFont="1" applyAlignment="1">
      <alignment vertical="top"/>
    </xf>
    <xf numFmtId="3" fontId="0" fillId="0" borderId="0" xfId="0" applyNumberFormat="1" applyAlignment="1">
      <alignment vertical="top"/>
    </xf>
    <xf numFmtId="10" fontId="51" fillId="0" borderId="0" xfId="0" applyNumberFormat="1" applyFont="1" applyAlignment="1">
      <alignment vertical="top"/>
    </xf>
    <xf numFmtId="0" fontId="0" fillId="0" borderId="64" xfId="0" applyBorder="1"/>
    <xf numFmtId="0" fontId="0" fillId="0" borderId="65" xfId="0" applyBorder="1"/>
    <xf numFmtId="0" fontId="0" fillId="0" borderId="66" xfId="0" applyBorder="1"/>
    <xf numFmtId="44" fontId="51" fillId="0" borderId="19" xfId="0" applyNumberFormat="1" applyFont="1" applyBorder="1" applyAlignment="1">
      <alignment vertical="top"/>
    </xf>
    <xf numFmtId="44" fontId="49" fillId="0" borderId="18" xfId="0" applyNumberFormat="1" applyFont="1" applyBorder="1" applyAlignment="1">
      <alignment horizontal="center" vertical="top" wrapText="1"/>
    </xf>
    <xf numFmtId="4" fontId="44" fillId="0" borderId="0" xfId="0" applyNumberFormat="1" applyFont="1"/>
    <xf numFmtId="0" fontId="44" fillId="56" borderId="0" xfId="0" applyFont="1" applyFill="1" applyAlignment="1">
      <alignment vertical="top" wrapText="1"/>
    </xf>
    <xf numFmtId="0" fontId="52" fillId="80" borderId="19" xfId="0" applyFont="1" applyFill="1" applyBorder="1" applyAlignment="1">
      <alignment vertical="top"/>
    </xf>
    <xf numFmtId="0" fontId="52" fillId="80" borderId="20" xfId="0" applyFont="1" applyFill="1" applyBorder="1" applyAlignment="1">
      <alignment vertical="top" wrapText="1"/>
    </xf>
    <xf numFmtId="164" fontId="52" fillId="80" borderId="20" xfId="0" applyNumberFormat="1" applyFont="1" applyFill="1" applyBorder="1" applyAlignment="1">
      <alignment vertical="top"/>
    </xf>
    <xf numFmtId="0" fontId="52" fillId="80" borderId="20" xfId="0" applyFont="1" applyFill="1" applyBorder="1" applyAlignment="1">
      <alignment vertical="top"/>
    </xf>
    <xf numFmtId="0" fontId="52" fillId="80" borderId="21" xfId="0" applyFont="1" applyFill="1" applyBorder="1" applyAlignment="1">
      <alignment vertical="top"/>
    </xf>
    <xf numFmtId="0" fontId="54" fillId="81" borderId="18" xfId="0" applyFont="1" applyFill="1" applyBorder="1" applyAlignment="1">
      <alignment vertical="top" wrapText="1"/>
    </xf>
    <xf numFmtId="44" fontId="54" fillId="81" borderId="18" xfId="0" applyNumberFormat="1" applyFont="1" applyFill="1" applyBorder="1" applyAlignment="1">
      <alignment vertical="top"/>
    </xf>
    <xf numFmtId="0" fontId="54" fillId="81" borderId="18" xfId="0" applyFont="1" applyFill="1" applyBorder="1" applyAlignment="1">
      <alignment horizontal="center" vertical="top"/>
    </xf>
    <xf numFmtId="0" fontId="49" fillId="59" borderId="41" xfId="0" applyFont="1" applyFill="1" applyBorder="1" applyAlignment="1">
      <alignment vertical="top" wrapText="1"/>
    </xf>
    <xf numFmtId="0" fontId="49" fillId="59" borderId="28" xfId="0" applyFont="1" applyFill="1" applyBorder="1" applyAlignment="1">
      <alignment vertical="top"/>
    </xf>
    <xf numFmtId="0" fontId="44" fillId="82" borderId="20" xfId="0" applyFont="1" applyFill="1" applyBorder="1" applyAlignment="1">
      <alignment vertical="top" wrapText="1"/>
    </xf>
    <xf numFmtId="39" fontId="44" fillId="82" borderId="20" xfId="0" applyNumberFormat="1" applyFont="1" applyFill="1" applyBorder="1" applyAlignment="1">
      <alignment vertical="top"/>
    </xf>
    <xf numFmtId="0" fontId="44" fillId="82" borderId="20" xfId="0" applyFont="1" applyFill="1" applyBorder="1" applyAlignment="1">
      <alignment vertical="top"/>
    </xf>
    <xf numFmtId="0" fontId="44" fillId="82" borderId="21" xfId="0" applyFont="1" applyFill="1" applyBorder="1" applyAlignment="1">
      <alignment vertical="top"/>
    </xf>
    <xf numFmtId="0" fontId="56" fillId="83" borderId="18" xfId="0" applyFont="1" applyFill="1" applyBorder="1" applyAlignment="1">
      <alignment vertical="top" wrapText="1"/>
    </xf>
    <xf numFmtId="44" fontId="56" fillId="83" borderId="18" xfId="0" applyNumberFormat="1" applyFont="1" applyFill="1" applyBorder="1" applyAlignment="1">
      <alignment vertical="top"/>
    </xf>
    <xf numFmtId="44" fontId="56" fillId="83" borderId="19" xfId="0" applyNumberFormat="1" applyFont="1" applyFill="1" applyBorder="1" applyAlignment="1">
      <alignment vertical="top"/>
    </xf>
    <xf numFmtId="0" fontId="52" fillId="82" borderId="19" xfId="0" applyFont="1" applyFill="1" applyBorder="1" applyAlignment="1">
      <alignment vertical="top"/>
    </xf>
    <xf numFmtId="0" fontId="56" fillId="84" borderId="0" xfId="0" applyFont="1" applyFill="1" applyAlignment="1">
      <alignment vertical="top"/>
    </xf>
    <xf numFmtId="0" fontId="56" fillId="84" borderId="0" xfId="0" applyFont="1" applyFill="1" applyAlignment="1">
      <alignment vertical="top" wrapText="1"/>
    </xf>
    <xf numFmtId="44" fontId="56" fillId="84" borderId="0" xfId="0" applyNumberFormat="1" applyFont="1" applyFill="1" applyAlignment="1">
      <alignment vertical="top"/>
    </xf>
    <xf numFmtId="164" fontId="56" fillId="84" borderId="0" xfId="0" applyNumberFormat="1" applyFont="1" applyFill="1" applyAlignment="1">
      <alignment vertical="top"/>
    </xf>
    <xf numFmtId="0" fontId="54" fillId="56" borderId="42" xfId="0" applyFont="1" applyFill="1" applyBorder="1" applyAlignment="1">
      <alignment horizontal="center" vertical="top" wrapText="1"/>
    </xf>
    <xf numFmtId="39" fontId="54" fillId="56" borderId="42" xfId="0" applyNumberFormat="1" applyFont="1" applyFill="1" applyBorder="1" applyAlignment="1">
      <alignment horizontal="center" vertical="top" wrapText="1"/>
    </xf>
    <xf numFmtId="0" fontId="56" fillId="56" borderId="42" xfId="0" applyFont="1" applyFill="1" applyBorder="1" applyAlignment="1">
      <alignment horizontal="center" vertical="top" wrapText="1"/>
    </xf>
    <xf numFmtId="0" fontId="31" fillId="58" borderId="41" xfId="0" applyFont="1" applyFill="1" applyBorder="1" applyAlignment="1">
      <alignment vertical="top" wrapText="1"/>
    </xf>
    <xf numFmtId="0" fontId="31" fillId="58" borderId="28" xfId="0" applyFont="1" applyFill="1" applyBorder="1" applyAlignment="1">
      <alignment vertical="top"/>
    </xf>
    <xf numFmtId="0" fontId="49" fillId="58" borderId="41" xfId="0" applyFont="1" applyFill="1" applyBorder="1" applyAlignment="1">
      <alignment vertical="top" wrapText="1"/>
    </xf>
    <xf numFmtId="0" fontId="49" fillId="58" borderId="28" xfId="0" applyFont="1" applyFill="1" applyBorder="1" applyAlignment="1">
      <alignment vertical="top"/>
    </xf>
    <xf numFmtId="0" fontId="44" fillId="59" borderId="41" xfId="0" applyFont="1" applyFill="1" applyBorder="1" applyAlignment="1">
      <alignment vertical="top" wrapText="1"/>
    </xf>
    <xf numFmtId="0" fontId="44" fillId="59" borderId="28" xfId="0" applyFont="1" applyFill="1" applyBorder="1" applyAlignment="1">
      <alignment vertical="top"/>
    </xf>
    <xf numFmtId="0" fontId="54" fillId="56" borderId="67" xfId="0" applyFont="1" applyFill="1" applyBorder="1" applyAlignment="1">
      <alignment vertical="top"/>
    </xf>
    <xf numFmtId="0" fontId="54" fillId="56" borderId="68" xfId="0" applyFont="1" applyFill="1" applyBorder="1" applyAlignment="1">
      <alignment horizontal="center" vertical="top"/>
    </xf>
    <xf numFmtId="0" fontId="56" fillId="84" borderId="41" xfId="0" applyFont="1" applyFill="1" applyBorder="1" applyAlignment="1">
      <alignment vertical="top"/>
    </xf>
    <xf numFmtId="0" fontId="56" fillId="84" borderId="28" xfId="0" applyFont="1" applyFill="1" applyBorder="1" applyAlignment="1">
      <alignment vertical="top"/>
    </xf>
    <xf numFmtId="0" fontId="44" fillId="58" borderId="41" xfId="0" applyFont="1" applyFill="1" applyBorder="1" applyAlignment="1">
      <alignment vertical="top" wrapText="1"/>
    </xf>
    <xf numFmtId="0" fontId="44" fillId="58" borderId="28" xfId="0" applyFont="1" applyFill="1" applyBorder="1" applyAlignment="1">
      <alignment vertical="top"/>
    </xf>
    <xf numFmtId="0" fontId="54" fillId="0" borderId="67" xfId="0" applyFont="1" applyBorder="1" applyAlignment="1">
      <alignment vertical="top"/>
    </xf>
    <xf numFmtId="0" fontId="54" fillId="0" borderId="68" xfId="0" applyFont="1" applyBorder="1" applyAlignment="1">
      <alignment horizontal="center" vertical="top"/>
    </xf>
    <xf numFmtId="0" fontId="44" fillId="85" borderId="0" xfId="0" applyFont="1" applyFill="1" applyAlignment="1">
      <alignment vertical="top"/>
    </xf>
    <xf numFmtId="0" fontId="44" fillId="82" borderId="0" xfId="0" applyFont="1" applyFill="1" applyAlignment="1">
      <alignment vertical="top"/>
    </xf>
    <xf numFmtId="0" fontId="52" fillId="85" borderId="19" xfId="0" applyFont="1" applyFill="1" applyBorder="1" applyAlignment="1">
      <alignment vertical="top"/>
    </xf>
    <xf numFmtId="0" fontId="52" fillId="85" borderId="20" xfId="0" applyFont="1" applyFill="1" applyBorder="1" applyAlignment="1">
      <alignment vertical="top" wrapText="1"/>
    </xf>
    <xf numFmtId="164" fontId="52" fillId="85" borderId="20" xfId="0" applyNumberFormat="1" applyFont="1" applyFill="1" applyBorder="1" applyAlignment="1">
      <alignment vertical="top"/>
    </xf>
    <xf numFmtId="0" fontId="52" fillId="85" borderId="20" xfId="0" applyFont="1" applyFill="1" applyBorder="1" applyAlignment="1">
      <alignment vertical="top"/>
    </xf>
    <xf numFmtId="0" fontId="52" fillId="85" borderId="21" xfId="0" applyFont="1" applyFill="1" applyBorder="1" applyAlignment="1">
      <alignment vertical="top"/>
    </xf>
    <xf numFmtId="0" fontId="54" fillId="86" borderId="18" xfId="0" applyFont="1" applyFill="1" applyBorder="1" applyAlignment="1">
      <alignment vertical="top" wrapText="1"/>
    </xf>
    <xf numFmtId="44" fontId="54" fillId="86" borderId="18" xfId="0" applyNumberFormat="1" applyFont="1" applyFill="1" applyBorder="1" applyAlignment="1">
      <alignment vertical="top"/>
    </xf>
    <xf numFmtId="44" fontId="51" fillId="87" borderId="18" xfId="0" applyNumberFormat="1" applyFont="1" applyFill="1" applyBorder="1" applyAlignment="1">
      <alignment vertical="top"/>
    </xf>
    <xf numFmtId="0" fontId="54" fillId="86" borderId="18" xfId="0" applyFont="1" applyFill="1" applyBorder="1" applyAlignment="1">
      <alignment horizontal="center" vertical="top"/>
    </xf>
    <xf numFmtId="44" fontId="51" fillId="88" borderId="18" xfId="0" applyNumberFormat="1" applyFont="1" applyFill="1" applyBorder="1" applyAlignment="1">
      <alignment vertical="top"/>
    </xf>
    <xf numFmtId="0" fontId="54" fillId="87" borderId="20" xfId="0" applyFont="1" applyFill="1" applyBorder="1" applyAlignment="1">
      <alignment vertical="top" wrapText="1"/>
    </xf>
    <xf numFmtId="44" fontId="49" fillId="87" borderId="20" xfId="0" applyNumberFormat="1" applyFont="1" applyFill="1" applyBorder="1" applyAlignment="1">
      <alignment vertical="top"/>
    </xf>
    <xf numFmtId="44" fontId="54" fillId="87" borderId="20" xfId="0" applyNumberFormat="1" applyFont="1" applyFill="1" applyBorder="1" applyAlignment="1">
      <alignment vertical="top"/>
    </xf>
    <xf numFmtId="0" fontId="54" fillId="89" borderId="20" xfId="0" applyFont="1" applyFill="1" applyBorder="1" applyAlignment="1">
      <alignment vertical="top" wrapText="1"/>
    </xf>
    <xf numFmtId="44" fontId="49" fillId="89" borderId="20" xfId="0" applyNumberFormat="1" applyFont="1" applyFill="1" applyBorder="1" applyAlignment="1">
      <alignment vertical="top"/>
    </xf>
    <xf numFmtId="44" fontId="54" fillId="89" borderId="20" xfId="0" applyNumberFormat="1" applyFont="1" applyFill="1" applyBorder="1" applyAlignment="1">
      <alignment vertical="top"/>
    </xf>
    <xf numFmtId="0" fontId="56" fillId="83" borderId="20" xfId="0" applyFont="1" applyFill="1" applyBorder="1" applyAlignment="1">
      <alignment vertical="top" wrapText="1"/>
    </xf>
    <xf numFmtId="44" fontId="44" fillId="83" borderId="20" xfId="0" applyNumberFormat="1" applyFont="1" applyFill="1" applyBorder="1" applyAlignment="1">
      <alignment vertical="top"/>
    </xf>
    <xf numFmtId="44" fontId="56" fillId="83" borderId="20" xfId="0" applyNumberFormat="1" applyFont="1" applyFill="1" applyBorder="1" applyAlignment="1">
      <alignment vertical="top"/>
    </xf>
    <xf numFmtId="0" fontId="56" fillId="83" borderId="19" xfId="0" applyFont="1" applyFill="1" applyBorder="1" applyAlignment="1">
      <alignment vertical="top"/>
    </xf>
    <xf numFmtId="0" fontId="56" fillId="83" borderId="20" xfId="0" applyFont="1" applyFill="1" applyBorder="1" applyAlignment="1">
      <alignment vertical="top"/>
    </xf>
    <xf numFmtId="0" fontId="56" fillId="83" borderId="21" xfId="0" applyFont="1" applyFill="1" applyBorder="1" applyAlignment="1">
      <alignment vertical="top"/>
    </xf>
    <xf numFmtId="10" fontId="0" fillId="0" borderId="0" xfId="239" applyNumberFormat="1" applyFont="1" applyAlignment="1">
      <alignment vertical="top"/>
    </xf>
    <xf numFmtId="4" fontId="49" fillId="0" borderId="0" xfId="0" applyNumberFormat="1" applyFont="1"/>
    <xf numFmtId="4" fontId="57" fillId="90" borderId="0" xfId="0" applyNumberFormat="1" applyFont="1" applyFill="1"/>
    <xf numFmtId="0" fontId="62" fillId="0" borderId="0" xfId="0" applyFont="1" applyAlignment="1">
      <alignment vertical="top"/>
    </xf>
    <xf numFmtId="0" fontId="64" fillId="0" borderId="0" xfId="0" applyFont="1" applyAlignment="1">
      <alignment vertical="top"/>
    </xf>
    <xf numFmtId="4" fontId="44" fillId="90" borderId="0" xfId="0" applyNumberFormat="1" applyFont="1" applyFill="1"/>
    <xf numFmtId="0" fontId="0" fillId="90" borderId="0" xfId="0" applyFill="1" applyAlignment="1">
      <alignment vertical="top" wrapText="1"/>
    </xf>
    <xf numFmtId="4" fontId="58" fillId="90" borderId="0" xfId="0" applyNumberFormat="1" applyFont="1" applyFill="1"/>
    <xf numFmtId="3" fontId="64" fillId="90" borderId="0" xfId="0" applyNumberFormat="1" applyFont="1" applyFill="1"/>
    <xf numFmtId="3" fontId="48" fillId="90" borderId="0" xfId="0" applyNumberFormat="1" applyFont="1" applyFill="1"/>
    <xf numFmtId="10" fontId="44" fillId="56" borderId="0" xfId="0" applyNumberFormat="1" applyFont="1" applyFill="1" applyAlignment="1">
      <alignment vertical="top" wrapText="1"/>
    </xf>
    <xf numFmtId="44" fontId="0" fillId="0" borderId="18" xfId="0" applyNumberFormat="1" applyBorder="1" applyAlignment="1">
      <alignment horizontal="center" vertical="top" wrapText="1"/>
    </xf>
    <xf numFmtId="44" fontId="62" fillId="0" borderId="18" xfId="0" applyNumberFormat="1" applyFont="1" applyBorder="1" applyAlignment="1">
      <alignment horizontal="center" vertical="top" wrapText="1"/>
    </xf>
    <xf numFmtId="0" fontId="44" fillId="0" borderId="41" xfId="0" applyFont="1" applyBorder="1" applyAlignment="1">
      <alignment vertical="top" wrapText="1"/>
    </xf>
    <xf numFmtId="44" fontId="54" fillId="0" borderId="70" xfId="0" applyNumberFormat="1" applyFont="1" applyBorder="1" applyAlignment="1">
      <alignment vertical="top"/>
    </xf>
    <xf numFmtId="44" fontId="54" fillId="0" borderId="71" xfId="0" applyNumberFormat="1" applyFont="1" applyBorder="1" applyAlignment="1">
      <alignment vertical="top"/>
    </xf>
    <xf numFmtId="44" fontId="54" fillId="0" borderId="0" xfId="0" applyNumberFormat="1" applyFont="1" applyAlignment="1">
      <alignment vertical="top"/>
    </xf>
    <xf numFmtId="0" fontId="54" fillId="0" borderId="72" xfId="0" applyFont="1" applyBorder="1" applyAlignment="1">
      <alignment vertical="top"/>
    </xf>
    <xf numFmtId="0" fontId="54" fillId="0" borderId="70" xfId="0" applyFont="1" applyBorder="1" applyAlignment="1">
      <alignment vertical="top" wrapText="1"/>
    </xf>
    <xf numFmtId="164" fontId="54" fillId="0" borderId="70" xfId="0" applyNumberFormat="1" applyFont="1" applyBorder="1" applyAlignment="1">
      <alignment vertical="top"/>
    </xf>
    <xf numFmtId="0" fontId="54" fillId="0" borderId="70" xfId="0" applyFont="1" applyBorder="1" applyAlignment="1">
      <alignment horizontal="center" vertical="top"/>
    </xf>
    <xf numFmtId="0" fontId="54" fillId="0" borderId="73" xfId="0" applyFont="1" applyBorder="1" applyAlignment="1">
      <alignment vertical="top"/>
    </xf>
    <xf numFmtId="0" fontId="54" fillId="0" borderId="22" xfId="0" applyFont="1" applyBorder="1" applyAlignment="1">
      <alignment vertical="top"/>
    </xf>
    <xf numFmtId="0" fontId="54" fillId="0" borderId="23" xfId="0" applyFont="1" applyBorder="1" applyAlignment="1">
      <alignment vertical="top" wrapText="1"/>
    </xf>
    <xf numFmtId="164" fontId="54" fillId="0" borderId="23" xfId="0" applyNumberFormat="1" applyFont="1" applyBorder="1" applyAlignment="1">
      <alignment vertical="top"/>
    </xf>
    <xf numFmtId="0" fontId="54" fillId="0" borderId="23" xfId="0" applyFont="1" applyBorder="1" applyAlignment="1">
      <alignment horizontal="center" vertical="top"/>
    </xf>
    <xf numFmtId="0" fontId="54" fillId="0" borderId="24" xfId="0" applyFont="1" applyBorder="1" applyAlignment="1">
      <alignment vertical="top"/>
    </xf>
    <xf numFmtId="10" fontId="44" fillId="56" borderId="16" xfId="0" applyNumberFormat="1" applyFont="1" applyFill="1" applyBorder="1" applyAlignment="1">
      <alignment vertical="top" wrapText="1"/>
    </xf>
    <xf numFmtId="44" fontId="66" fillId="0" borderId="0" xfId="0" applyNumberFormat="1" applyFont="1" applyAlignment="1">
      <alignment vertical="top"/>
    </xf>
    <xf numFmtId="44" fontId="51" fillId="0" borderId="18" xfId="0" applyNumberFormat="1" applyFont="1" applyBorder="1" applyAlignment="1">
      <alignment horizontal="center" vertical="top"/>
    </xf>
    <xf numFmtId="0" fontId="3" fillId="0" borderId="32" xfId="0" applyFont="1" applyBorder="1" applyAlignment="1">
      <alignment horizontal="left" vertical="top" wrapText="1"/>
    </xf>
    <xf numFmtId="44" fontId="51" fillId="0" borderId="32" xfId="0" applyNumberFormat="1" applyFont="1" applyBorder="1" applyAlignment="1">
      <alignment horizontal="center" vertical="center"/>
    </xf>
    <xf numFmtId="0" fontId="50" fillId="0" borderId="18" xfId="0" applyFont="1" applyBorder="1" applyAlignment="1">
      <alignment vertical="top" wrapText="1"/>
    </xf>
    <xf numFmtId="44" fontId="51" fillId="0" borderId="18" xfId="0" applyNumberFormat="1" applyFont="1" applyBorder="1" applyAlignment="1">
      <alignment horizontal="right" vertical="top" wrapText="1"/>
    </xf>
    <xf numFmtId="0" fontId="0" fillId="0" borderId="18" xfId="0" applyBorder="1" applyAlignment="1">
      <alignment horizontal="center" vertical="center"/>
    </xf>
    <xf numFmtId="0" fontId="0" fillId="0" borderId="18" xfId="0" applyBorder="1" applyAlignment="1">
      <alignment horizontal="center" vertical="center" wrapText="1"/>
    </xf>
    <xf numFmtId="0" fontId="64" fillId="0" borderId="0" xfId="0" applyFont="1"/>
    <xf numFmtId="0" fontId="0" fillId="0" borderId="16" xfId="0" applyBorder="1"/>
    <xf numFmtId="6" fontId="0" fillId="0" borderId="17" xfId="0" applyNumberFormat="1" applyBorder="1"/>
    <xf numFmtId="6" fontId="0" fillId="0" borderId="34" xfId="0" applyNumberFormat="1" applyBorder="1"/>
    <xf numFmtId="0" fontId="0" fillId="0" borderId="74" xfId="0" applyBorder="1"/>
    <xf numFmtId="0" fontId="0" fillId="0" borderId="75" xfId="0" applyBorder="1"/>
    <xf numFmtId="0" fontId="46" fillId="0" borderId="74" xfId="0" applyFont="1" applyBorder="1"/>
    <xf numFmtId="0" fontId="46" fillId="0" borderId="74" xfId="0" applyFont="1" applyBorder="1" applyAlignment="1">
      <alignment horizontal="center" vertical="center"/>
    </xf>
    <xf numFmtId="0" fontId="46" fillId="0" borderId="12" xfId="0" applyFont="1" applyBorder="1" applyAlignment="1">
      <alignment horizontal="center" vertical="center"/>
    </xf>
    <xf numFmtId="6" fontId="0" fillId="0" borderId="74" xfId="0" applyNumberFormat="1" applyBorder="1"/>
    <xf numFmtId="6" fontId="0" fillId="0" borderId="0" xfId="0" applyNumberFormat="1"/>
    <xf numFmtId="0" fontId="52" fillId="79" borderId="35" xfId="0" applyFont="1" applyFill="1" applyBorder="1" applyAlignment="1">
      <alignment horizontal="left" vertical="top"/>
    </xf>
    <xf numFmtId="0" fontId="52" fillId="79" borderId="36" xfId="0" applyFont="1" applyFill="1" applyBorder="1" applyAlignment="1">
      <alignment horizontal="left" vertical="top"/>
    </xf>
    <xf numFmtId="0" fontId="52" fillId="79" borderId="37" xfId="0" applyFont="1" applyFill="1" applyBorder="1" applyAlignment="1">
      <alignment horizontal="left" vertical="top"/>
    </xf>
    <xf numFmtId="0" fontId="55" fillId="82" borderId="19" xfId="0" applyFont="1" applyFill="1" applyBorder="1" applyAlignment="1">
      <alignment horizontal="left" vertical="top"/>
    </xf>
    <xf numFmtId="0" fontId="55" fillId="82" borderId="20" xfId="0" applyFont="1" applyFill="1" applyBorder="1" applyAlignment="1">
      <alignment horizontal="left" vertical="top"/>
    </xf>
    <xf numFmtId="0" fontId="55" fillId="82" borderId="21" xfId="0" applyFont="1" applyFill="1" applyBorder="1" applyAlignment="1">
      <alignment horizontal="left" vertical="top"/>
    </xf>
    <xf numFmtId="0" fontId="52" fillId="85" borderId="35" xfId="0" applyFont="1" applyFill="1" applyBorder="1" applyAlignment="1">
      <alignment horizontal="left" vertical="top"/>
    </xf>
    <xf numFmtId="0" fontId="52" fillId="85" borderId="36" xfId="0" applyFont="1" applyFill="1" applyBorder="1" applyAlignment="1">
      <alignment horizontal="left" vertical="top"/>
    </xf>
    <xf numFmtId="0" fontId="52" fillId="85" borderId="37" xfId="0" applyFont="1" applyFill="1" applyBorder="1" applyAlignment="1">
      <alignment horizontal="left" vertical="top"/>
    </xf>
    <xf numFmtId="0" fontId="51" fillId="0" borderId="21" xfId="0" applyFont="1" applyBorder="1" applyAlignment="1">
      <alignment horizontal="center" vertical="center"/>
    </xf>
    <xf numFmtId="0" fontId="0" fillId="0" borderId="19" xfId="0" applyBorder="1" applyAlignment="1">
      <alignment horizontal="center" vertical="center"/>
    </xf>
    <xf numFmtId="39" fontId="51" fillId="0" borderId="19" xfId="0" applyNumberFormat="1" applyFont="1" applyBorder="1" applyAlignment="1">
      <alignment horizontal="center" vertical="top"/>
    </xf>
    <xf numFmtId="39" fontId="51" fillId="0" borderId="20" xfId="0" applyNumberFormat="1" applyFont="1" applyBorder="1" applyAlignment="1">
      <alignment horizontal="center" vertical="top"/>
    </xf>
    <xf numFmtId="39" fontId="51" fillId="0" borderId="21" xfId="0" applyNumberFormat="1" applyFont="1" applyBorder="1" applyAlignment="1">
      <alignment horizontal="center" vertical="top"/>
    </xf>
    <xf numFmtId="39" fontId="56" fillId="83" borderId="19" xfId="0" applyNumberFormat="1" applyFont="1" applyFill="1" applyBorder="1" applyAlignment="1">
      <alignment horizontal="center" vertical="top"/>
    </xf>
    <xf numFmtId="39" fontId="56" fillId="83" borderId="20" xfId="0" applyNumberFormat="1" applyFont="1" applyFill="1" applyBorder="1" applyAlignment="1">
      <alignment horizontal="center" vertical="top"/>
    </xf>
    <xf numFmtId="39" fontId="56" fillId="83" borderId="21" xfId="0" applyNumberFormat="1" applyFont="1" applyFill="1" applyBorder="1" applyAlignment="1">
      <alignment horizontal="center" vertical="top"/>
    </xf>
    <xf numFmtId="0" fontId="44" fillId="0" borderId="0" xfId="0" applyFont="1" applyFill="1" applyAlignment="1">
      <alignment vertical="top"/>
    </xf>
    <xf numFmtId="0" fontId="44" fillId="0" borderId="0" xfId="0" applyFont="1" applyFill="1" applyAlignment="1">
      <alignment vertical="top" wrapText="1"/>
    </xf>
    <xf numFmtId="0" fontId="51" fillId="0" borderId="19" xfId="0" applyFont="1" applyBorder="1" applyAlignment="1">
      <alignment horizontal="centerContinuous" vertical="top"/>
    </xf>
    <xf numFmtId="0" fontId="51" fillId="0" borderId="20" xfId="0" applyFont="1" applyBorder="1" applyAlignment="1">
      <alignment horizontal="centerContinuous" vertical="top"/>
    </xf>
    <xf numFmtId="0" fontId="51" fillId="0" borderId="21" xfId="0" applyFont="1" applyBorder="1" applyAlignment="1">
      <alignment horizontal="centerContinuous" vertical="top"/>
    </xf>
    <xf numFmtId="0" fontId="51" fillId="0" borderId="19" xfId="0" applyFont="1" applyBorder="1" applyAlignment="1">
      <alignment horizontal="centerContinuous" vertical="center"/>
    </xf>
    <xf numFmtId="0" fontId="51" fillId="0" borderId="20" xfId="0" applyFont="1" applyBorder="1" applyAlignment="1">
      <alignment horizontal="centerContinuous" vertical="center"/>
    </xf>
    <xf numFmtId="0" fontId="51" fillId="0" borderId="21" xfId="0" applyFont="1" applyBorder="1" applyAlignment="1">
      <alignment horizontal="centerContinuous"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0" fillId="0" borderId="21" xfId="0" applyBorder="1" applyAlignment="1">
      <alignment horizontal="centerContinuous" vertical="center"/>
    </xf>
    <xf numFmtId="0" fontId="65" fillId="56" borderId="0" xfId="0" applyFont="1" applyFill="1" applyAlignment="1">
      <alignment horizontal="center" vertical="top" wrapText="1"/>
    </xf>
    <xf numFmtId="0" fontId="51" fillId="0" borderId="19" xfId="0" applyFont="1" applyBorder="1" applyAlignment="1">
      <alignment horizontal="center" vertical="center"/>
    </xf>
    <xf numFmtId="0" fontId="51" fillId="0" borderId="20" xfId="0" applyFont="1" applyBorder="1" applyAlignment="1">
      <alignment horizontal="center" vertical="center"/>
    </xf>
    <xf numFmtId="0" fontId="51" fillId="0" borderId="21" xfId="0" applyFont="1" applyBorder="1" applyAlignment="1">
      <alignment horizontal="center" vertical="center"/>
    </xf>
    <xf numFmtId="0" fontId="51" fillId="0" borderId="19" xfId="0" applyFont="1" applyBorder="1" applyAlignment="1">
      <alignment horizontal="center" vertical="top" wrapText="1"/>
    </xf>
    <xf numFmtId="0" fontId="51" fillId="0" borderId="20" xfId="0" applyFont="1" applyBorder="1" applyAlignment="1">
      <alignment horizontal="center" vertical="top" wrapText="1"/>
    </xf>
    <xf numFmtId="0" fontId="51" fillId="0" borderId="21" xfId="0" applyFont="1" applyBorder="1" applyAlignment="1">
      <alignment horizontal="center" vertical="top" wrapText="1"/>
    </xf>
    <xf numFmtId="0" fontId="44" fillId="76" borderId="69" xfId="0" applyFont="1" applyFill="1" applyBorder="1" applyAlignment="1">
      <alignment horizontal="center" vertical="top"/>
    </xf>
    <xf numFmtId="39" fontId="51" fillId="0" borderId="19" xfId="0" applyNumberFormat="1" applyFont="1" applyBorder="1" applyAlignment="1">
      <alignment horizontal="center" vertical="top"/>
    </xf>
    <xf numFmtId="39" fontId="51" fillId="0" borderId="20" xfId="0" applyNumberFormat="1" applyFont="1" applyBorder="1" applyAlignment="1">
      <alignment horizontal="center" vertical="top"/>
    </xf>
    <xf numFmtId="39" fontId="51" fillId="0" borderId="21" xfId="0" applyNumberFormat="1" applyFont="1" applyBorder="1" applyAlignment="1">
      <alignment horizontal="center" vertical="top"/>
    </xf>
    <xf numFmtId="39" fontId="56" fillId="83" borderId="19" xfId="0" applyNumberFormat="1" applyFont="1" applyFill="1" applyBorder="1" applyAlignment="1">
      <alignment horizontal="center" vertical="top"/>
    </xf>
    <xf numFmtId="39" fontId="56" fillId="83" borderId="20" xfId="0" applyNumberFormat="1" applyFont="1" applyFill="1" applyBorder="1" applyAlignment="1">
      <alignment horizontal="center" vertical="top"/>
    </xf>
    <xf numFmtId="39" fontId="56" fillId="83" borderId="21" xfId="0" applyNumberFormat="1" applyFont="1" applyFill="1" applyBorder="1" applyAlignment="1">
      <alignment horizontal="center" vertical="top"/>
    </xf>
    <xf numFmtId="0" fontId="51" fillId="0" borderId="19" xfId="0" applyFont="1" applyBorder="1" applyAlignment="1">
      <alignment horizontal="center" vertical="top"/>
    </xf>
    <xf numFmtId="0" fontId="51" fillId="0" borderId="20" xfId="0" applyFont="1" applyBorder="1" applyAlignment="1">
      <alignment horizontal="center" vertical="top"/>
    </xf>
    <xf numFmtId="0" fontId="51" fillId="0" borderId="21" xfId="0" applyFont="1" applyBorder="1" applyAlignment="1">
      <alignment horizontal="center" vertical="top"/>
    </xf>
    <xf numFmtId="0" fontId="55" fillId="56" borderId="33" xfId="0" applyFont="1" applyFill="1" applyBorder="1" applyAlignment="1">
      <alignment horizontal="center" vertical="top"/>
    </xf>
    <xf numFmtId="0" fontId="55" fillId="56" borderId="30" xfId="0" applyFont="1" applyFill="1" applyBorder="1" applyAlignment="1">
      <alignment horizontal="center" vertical="top"/>
    </xf>
    <xf numFmtId="0" fontId="55" fillId="56" borderId="34" xfId="0" applyFont="1" applyFill="1" applyBorder="1" applyAlignment="1">
      <alignment horizontal="center" vertical="top"/>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2" fillId="61" borderId="35" xfId="0" applyFont="1" applyFill="1" applyBorder="1" applyAlignment="1">
      <alignment horizontal="left" vertical="top"/>
    </xf>
    <xf numFmtId="0" fontId="52" fillId="61" borderId="36" xfId="0" applyFont="1" applyFill="1" applyBorder="1" applyAlignment="1">
      <alignment horizontal="left" vertical="top"/>
    </xf>
    <xf numFmtId="0" fontId="52" fillId="61" borderId="37" xfId="0" applyFont="1" applyFill="1" applyBorder="1" applyAlignment="1">
      <alignment horizontal="left" vertical="top"/>
    </xf>
    <xf numFmtId="0" fontId="48" fillId="0" borderId="19" xfId="0" applyFont="1" applyBorder="1" applyAlignment="1">
      <alignment horizontal="center" vertical="center"/>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0" fillId="0" borderId="19" xfId="0"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48" fillId="0" borderId="38" xfId="0" applyFont="1" applyBorder="1" applyAlignment="1">
      <alignment horizontal="center" vertical="center"/>
    </xf>
    <xf numFmtId="0" fontId="48" fillId="0" borderId="39" xfId="0" applyFont="1" applyBorder="1" applyAlignment="1">
      <alignment horizontal="center" vertical="center"/>
    </xf>
    <xf numFmtId="0" fontId="48" fillId="0" borderId="40" xfId="0" applyFont="1" applyBorder="1" applyAlignment="1">
      <alignment horizontal="center" vertical="center"/>
    </xf>
    <xf numFmtId="0" fontId="55" fillId="56" borderId="0" xfId="0" applyFont="1" applyFill="1" applyAlignment="1">
      <alignment horizontal="center" vertical="top"/>
    </xf>
    <xf numFmtId="0" fontId="54" fillId="89" borderId="20" xfId="0" applyFont="1" applyFill="1" applyBorder="1" applyAlignment="1">
      <alignment horizontal="center" vertical="top"/>
    </xf>
    <xf numFmtId="0" fontId="54" fillId="89" borderId="21" xfId="0" applyFont="1" applyFill="1" applyBorder="1" applyAlignment="1">
      <alignment horizontal="center" vertical="top"/>
    </xf>
    <xf numFmtId="0" fontId="54" fillId="87" borderId="43" xfId="0" applyFont="1" applyFill="1" applyBorder="1" applyAlignment="1">
      <alignment horizontal="center" vertical="top"/>
    </xf>
    <xf numFmtId="0" fontId="54" fillId="87" borderId="44" xfId="0" applyFont="1" applyFill="1" applyBorder="1" applyAlignment="1">
      <alignment horizontal="center" vertical="top"/>
    </xf>
  </cellXfs>
  <cellStyles count="240">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2" xfId="39" builtinId="36" customBuiltin="1"/>
    <cellStyle name="60% - Accent2 2" xfId="40" xr:uid="{00000000-0005-0000-0000-000027000000}"/>
    <cellStyle name="60% - Accent3" xfId="41" builtinId="40" customBuiltin="1"/>
    <cellStyle name="60% - Accent3 2" xfId="42" xr:uid="{00000000-0005-0000-0000-000029000000}"/>
    <cellStyle name="60% - Accent4" xfId="43" builtinId="44" customBuiltin="1"/>
    <cellStyle name="60% - Accent4 2" xfId="44" xr:uid="{00000000-0005-0000-0000-00002B000000}"/>
    <cellStyle name="60% - Accent5" xfId="45" builtinId="48" customBuiltin="1"/>
    <cellStyle name="60% - Accent5 2" xfId="46" xr:uid="{00000000-0005-0000-0000-00002D000000}"/>
    <cellStyle name="60% - Accent6" xfId="47" builtinId="52" customBuiltin="1"/>
    <cellStyle name="60% - Accent6 2" xfId="48" xr:uid="{00000000-0005-0000-0000-00002F000000}"/>
    <cellStyle name="Accent1" xfId="49" builtinId="29" customBuiltin="1"/>
    <cellStyle name="Accent1 2" xfId="50" xr:uid="{00000000-0005-0000-0000-000031000000}"/>
    <cellStyle name="Accent2" xfId="51" builtinId="33" customBuiltin="1"/>
    <cellStyle name="Accent2 2" xfId="52" xr:uid="{00000000-0005-0000-0000-000033000000}"/>
    <cellStyle name="Accent3" xfId="53" builtinId="37" customBuiltin="1"/>
    <cellStyle name="Accent3 2" xfId="54" xr:uid="{00000000-0005-0000-0000-000035000000}"/>
    <cellStyle name="Accent4" xfId="55" builtinId="41" customBuiltin="1"/>
    <cellStyle name="Accent4 2" xfId="56" xr:uid="{00000000-0005-0000-0000-000037000000}"/>
    <cellStyle name="Accent5" xfId="57" builtinId="45" customBuiltin="1"/>
    <cellStyle name="Accent5 2" xfId="58" xr:uid="{00000000-0005-0000-0000-000039000000}"/>
    <cellStyle name="Accent6" xfId="59" builtinId="49" customBuiltin="1"/>
    <cellStyle name="Accent6 2" xfId="60" xr:uid="{00000000-0005-0000-0000-00003B000000}"/>
    <cellStyle name="Bad" xfId="61" builtinId="27" customBuiltin="1"/>
    <cellStyle name="Bad 2" xfId="62" xr:uid="{00000000-0005-0000-0000-00003D000000}"/>
    <cellStyle name="Calculation" xfId="63" builtinId="22" customBuiltin="1"/>
    <cellStyle name="Calculation 2" xfId="64" xr:uid="{00000000-0005-0000-0000-00003F000000}"/>
    <cellStyle name="Check Cell" xfId="65" builtinId="23" customBuiltin="1"/>
    <cellStyle name="Check Cell 2" xfId="66" xr:uid="{00000000-0005-0000-0000-000041000000}"/>
    <cellStyle name="Comma 2" xfId="67" xr:uid="{00000000-0005-0000-0000-000042000000}"/>
    <cellStyle name="Comma 2 2" xfId="68" xr:uid="{00000000-0005-0000-0000-000043000000}"/>
    <cellStyle name="Comma 2 3" xfId="69" xr:uid="{00000000-0005-0000-0000-000044000000}"/>
    <cellStyle name="Comma 3" xfId="70" xr:uid="{00000000-0005-0000-0000-000045000000}"/>
    <cellStyle name="Comma 4" xfId="71" xr:uid="{00000000-0005-0000-0000-000046000000}"/>
    <cellStyle name="Currency 2" xfId="72" xr:uid="{00000000-0005-0000-0000-000047000000}"/>
    <cellStyle name="Currency 2 2" xfId="73" xr:uid="{00000000-0005-0000-0000-000048000000}"/>
    <cellStyle name="Currency 2 3" xfId="74" xr:uid="{00000000-0005-0000-0000-000049000000}"/>
    <cellStyle name="Currency 2 3 2" xfId="75" xr:uid="{00000000-0005-0000-0000-00004A000000}"/>
    <cellStyle name="Currency 2 3 2 2" xfId="76" xr:uid="{00000000-0005-0000-0000-00004B000000}"/>
    <cellStyle name="Currency 2 3 3" xfId="77" xr:uid="{00000000-0005-0000-0000-00004C000000}"/>
    <cellStyle name="Currency 2 4" xfId="78" xr:uid="{00000000-0005-0000-0000-00004D000000}"/>
    <cellStyle name="Currency 2 4 2" xfId="79" xr:uid="{00000000-0005-0000-0000-00004E000000}"/>
    <cellStyle name="Currency 2 5" xfId="80" xr:uid="{00000000-0005-0000-0000-00004F000000}"/>
    <cellStyle name="Currency 2 6" xfId="81" xr:uid="{00000000-0005-0000-0000-000050000000}"/>
    <cellStyle name="Currency 2 7" xfId="82" xr:uid="{00000000-0005-0000-0000-000051000000}"/>
    <cellStyle name="Currency 3" xfId="83" xr:uid="{00000000-0005-0000-0000-000052000000}"/>
    <cellStyle name="Currency 4" xfId="84" xr:uid="{00000000-0005-0000-0000-000053000000}"/>
    <cellStyle name="Currency 5" xfId="85" xr:uid="{00000000-0005-0000-0000-000054000000}"/>
    <cellStyle name="Explanatory Text" xfId="86" builtinId="53" customBuiltin="1"/>
    <cellStyle name="Explanatory Text 2" xfId="87" xr:uid="{00000000-0005-0000-0000-000056000000}"/>
    <cellStyle name="Good" xfId="88" builtinId="26" customBuiltin="1"/>
    <cellStyle name="Good 2" xfId="89" xr:uid="{00000000-0005-0000-0000-000058000000}"/>
    <cellStyle name="Heading 1" xfId="90" builtinId="16" customBuiltin="1"/>
    <cellStyle name="Heading 1 2" xfId="91" xr:uid="{00000000-0005-0000-0000-00005A000000}"/>
    <cellStyle name="Heading 2" xfId="92" builtinId="17" customBuiltin="1"/>
    <cellStyle name="Heading 2 2" xfId="93" xr:uid="{00000000-0005-0000-0000-00005C000000}"/>
    <cellStyle name="Heading 3" xfId="94" builtinId="18" customBuiltin="1"/>
    <cellStyle name="Heading 3 2" xfId="95" xr:uid="{00000000-0005-0000-0000-00005E000000}"/>
    <cellStyle name="Heading 4" xfId="96" builtinId="19" customBuiltin="1"/>
    <cellStyle name="Heading 4 2" xfId="97" xr:uid="{00000000-0005-0000-0000-000060000000}"/>
    <cellStyle name="Input" xfId="98" builtinId="20" customBuiltin="1"/>
    <cellStyle name="Input 2" xfId="99" xr:uid="{00000000-0005-0000-0000-000062000000}"/>
    <cellStyle name="Linked Cell" xfId="100" builtinId="24" customBuiltin="1"/>
    <cellStyle name="Linked Cell 2" xfId="101" xr:uid="{00000000-0005-0000-0000-000064000000}"/>
    <cellStyle name="Neutral" xfId="102" builtinId="28" customBuiltin="1"/>
    <cellStyle name="Neutral 2" xfId="103" xr:uid="{00000000-0005-0000-0000-000066000000}"/>
    <cellStyle name="Normal" xfId="0" builtinId="0"/>
    <cellStyle name="Normal 10" xfId="104" xr:uid="{00000000-0005-0000-0000-000068000000}"/>
    <cellStyle name="Normal 10 2" xfId="105" xr:uid="{00000000-0005-0000-0000-000069000000}"/>
    <cellStyle name="Normal 10 3" xfId="106" xr:uid="{00000000-0005-0000-0000-00006A000000}"/>
    <cellStyle name="Normal 11" xfId="107" xr:uid="{00000000-0005-0000-0000-00006B000000}"/>
    <cellStyle name="Normal 11 2" xfId="108" xr:uid="{00000000-0005-0000-0000-00006C000000}"/>
    <cellStyle name="Normal 11 3" xfId="109" xr:uid="{00000000-0005-0000-0000-00006D000000}"/>
    <cellStyle name="Normal 12" xfId="110" xr:uid="{00000000-0005-0000-0000-00006E000000}"/>
    <cellStyle name="Normal 12 2" xfId="111" xr:uid="{00000000-0005-0000-0000-00006F000000}"/>
    <cellStyle name="Normal 13" xfId="112" xr:uid="{00000000-0005-0000-0000-000070000000}"/>
    <cellStyle name="Normal 13 2" xfId="113" xr:uid="{00000000-0005-0000-0000-000071000000}"/>
    <cellStyle name="Normal 14" xfId="114" xr:uid="{00000000-0005-0000-0000-000072000000}"/>
    <cellStyle name="Normal 14 2" xfId="115" xr:uid="{00000000-0005-0000-0000-000073000000}"/>
    <cellStyle name="Normal 15" xfId="116" xr:uid="{00000000-0005-0000-0000-000074000000}"/>
    <cellStyle name="Normal 15 2" xfId="117" xr:uid="{00000000-0005-0000-0000-000075000000}"/>
    <cellStyle name="Normal 16" xfId="118" xr:uid="{00000000-0005-0000-0000-000076000000}"/>
    <cellStyle name="Normal 16 2" xfId="119" xr:uid="{00000000-0005-0000-0000-000077000000}"/>
    <cellStyle name="Normal 17" xfId="120" xr:uid="{00000000-0005-0000-0000-000078000000}"/>
    <cellStyle name="Normal 18" xfId="121" xr:uid="{00000000-0005-0000-0000-000079000000}"/>
    <cellStyle name="Normal 19" xfId="122" xr:uid="{00000000-0005-0000-0000-00007A000000}"/>
    <cellStyle name="Normal 2" xfId="123" xr:uid="{00000000-0005-0000-0000-00007B000000}"/>
    <cellStyle name="Normal 2 10" xfId="124" xr:uid="{00000000-0005-0000-0000-00007C000000}"/>
    <cellStyle name="Normal 2 11" xfId="125" xr:uid="{00000000-0005-0000-0000-00007D000000}"/>
    <cellStyle name="Normal 2 2" xfId="126" xr:uid="{00000000-0005-0000-0000-00007E000000}"/>
    <cellStyle name="Normal 2 2 2" xfId="127" xr:uid="{00000000-0005-0000-0000-00007F000000}"/>
    <cellStyle name="Normal 2 2 2 2" xfId="128" xr:uid="{00000000-0005-0000-0000-000080000000}"/>
    <cellStyle name="Normal 2 2 2 2 2" xfId="129" xr:uid="{00000000-0005-0000-0000-000081000000}"/>
    <cellStyle name="Normal 2 2 2 3" xfId="130" xr:uid="{00000000-0005-0000-0000-000082000000}"/>
    <cellStyle name="Normal 2 2 3" xfId="131" xr:uid="{00000000-0005-0000-0000-000083000000}"/>
    <cellStyle name="Normal 2 2 3 2" xfId="132" xr:uid="{00000000-0005-0000-0000-000084000000}"/>
    <cellStyle name="Normal 2 2 4" xfId="133" xr:uid="{00000000-0005-0000-0000-000085000000}"/>
    <cellStyle name="Normal 2 2 5" xfId="134" xr:uid="{00000000-0005-0000-0000-000086000000}"/>
    <cellStyle name="Normal 2 2 6" xfId="135" xr:uid="{00000000-0005-0000-0000-000087000000}"/>
    <cellStyle name="Normal 2 2 7" xfId="136" xr:uid="{00000000-0005-0000-0000-000088000000}"/>
    <cellStyle name="Normal 2 2 8" xfId="137" xr:uid="{00000000-0005-0000-0000-000089000000}"/>
    <cellStyle name="Normal 2 3" xfId="138" xr:uid="{00000000-0005-0000-0000-00008A000000}"/>
    <cellStyle name="Normal 2 3 2" xfId="139" xr:uid="{00000000-0005-0000-0000-00008B000000}"/>
    <cellStyle name="Normal 2 3 2 2" xfId="140" xr:uid="{00000000-0005-0000-0000-00008C000000}"/>
    <cellStyle name="Normal 2 3 2 2 2" xfId="141" xr:uid="{00000000-0005-0000-0000-00008D000000}"/>
    <cellStyle name="Normal 2 3 2 3" xfId="142" xr:uid="{00000000-0005-0000-0000-00008E000000}"/>
    <cellStyle name="Normal 2 3 3" xfId="143" xr:uid="{00000000-0005-0000-0000-00008F000000}"/>
    <cellStyle name="Normal 2 3 3 2" xfId="144" xr:uid="{00000000-0005-0000-0000-000090000000}"/>
    <cellStyle name="Normal 2 3 4" xfId="145" xr:uid="{00000000-0005-0000-0000-000091000000}"/>
    <cellStyle name="Normal 2 3 5" xfId="146" xr:uid="{00000000-0005-0000-0000-000092000000}"/>
    <cellStyle name="Normal 2 3 6" xfId="147" xr:uid="{00000000-0005-0000-0000-000093000000}"/>
    <cellStyle name="Normal 2 3 7" xfId="148" xr:uid="{00000000-0005-0000-0000-000094000000}"/>
    <cellStyle name="Normal 2 4" xfId="149" xr:uid="{00000000-0005-0000-0000-000095000000}"/>
    <cellStyle name="Normal 2 4 2" xfId="150" xr:uid="{00000000-0005-0000-0000-000096000000}"/>
    <cellStyle name="Normal 2 4 2 2" xfId="151" xr:uid="{00000000-0005-0000-0000-000097000000}"/>
    <cellStyle name="Normal 2 4 2 2 2" xfId="152" xr:uid="{00000000-0005-0000-0000-000098000000}"/>
    <cellStyle name="Normal 2 4 2 3" xfId="153" xr:uid="{00000000-0005-0000-0000-000099000000}"/>
    <cellStyle name="Normal 2 4 3" xfId="154" xr:uid="{00000000-0005-0000-0000-00009A000000}"/>
    <cellStyle name="Normal 2 4 3 2" xfId="155" xr:uid="{00000000-0005-0000-0000-00009B000000}"/>
    <cellStyle name="Normal 2 4 4" xfId="156" xr:uid="{00000000-0005-0000-0000-00009C000000}"/>
    <cellStyle name="Normal 2 4 5" xfId="157" xr:uid="{00000000-0005-0000-0000-00009D000000}"/>
    <cellStyle name="Normal 2 5" xfId="158" xr:uid="{00000000-0005-0000-0000-00009E000000}"/>
    <cellStyle name="Normal 2 5 2" xfId="159" xr:uid="{00000000-0005-0000-0000-00009F000000}"/>
    <cellStyle name="Normal 2 5 2 2" xfId="160" xr:uid="{00000000-0005-0000-0000-0000A0000000}"/>
    <cellStyle name="Normal 2 5 3" xfId="161" xr:uid="{00000000-0005-0000-0000-0000A1000000}"/>
    <cellStyle name="Normal 2 6" xfId="162" xr:uid="{00000000-0005-0000-0000-0000A2000000}"/>
    <cellStyle name="Normal 2 6 2" xfId="163" xr:uid="{00000000-0005-0000-0000-0000A3000000}"/>
    <cellStyle name="Normal 2 7" xfId="164" xr:uid="{00000000-0005-0000-0000-0000A4000000}"/>
    <cellStyle name="Normal 2 7 2" xfId="165" xr:uid="{00000000-0005-0000-0000-0000A5000000}"/>
    <cellStyle name="Normal 2 8" xfId="166" xr:uid="{00000000-0005-0000-0000-0000A6000000}"/>
    <cellStyle name="Normal 2 9" xfId="167" xr:uid="{00000000-0005-0000-0000-0000A7000000}"/>
    <cellStyle name="Normal 20" xfId="168" xr:uid="{00000000-0005-0000-0000-0000A8000000}"/>
    <cellStyle name="Normal 21" xfId="169" xr:uid="{00000000-0005-0000-0000-0000A9000000}"/>
    <cellStyle name="Normal 22" xfId="170" xr:uid="{00000000-0005-0000-0000-0000AA000000}"/>
    <cellStyle name="Normal 23" xfId="171" xr:uid="{00000000-0005-0000-0000-0000AB000000}"/>
    <cellStyle name="Normal 24" xfId="172" xr:uid="{00000000-0005-0000-0000-0000AC000000}"/>
    <cellStyle name="Normal 25" xfId="173" xr:uid="{00000000-0005-0000-0000-0000AD000000}"/>
    <cellStyle name="Normal 26" xfId="174" xr:uid="{00000000-0005-0000-0000-0000AE000000}"/>
    <cellStyle name="Normal 27" xfId="175" xr:uid="{00000000-0005-0000-0000-0000AF000000}"/>
    <cellStyle name="Normal 28" xfId="176" xr:uid="{00000000-0005-0000-0000-0000B0000000}"/>
    <cellStyle name="Normal 29" xfId="177" xr:uid="{00000000-0005-0000-0000-0000B1000000}"/>
    <cellStyle name="Normal 3" xfId="178" xr:uid="{00000000-0005-0000-0000-0000B2000000}"/>
    <cellStyle name="Normal 3 2" xfId="179" xr:uid="{00000000-0005-0000-0000-0000B3000000}"/>
    <cellStyle name="Normal 30" xfId="180" xr:uid="{00000000-0005-0000-0000-0000B4000000}"/>
    <cellStyle name="Normal 31" xfId="181" xr:uid="{00000000-0005-0000-0000-0000B5000000}"/>
    <cellStyle name="Normal 32" xfId="182" xr:uid="{00000000-0005-0000-0000-0000B6000000}"/>
    <cellStyle name="Normal 33" xfId="183" xr:uid="{00000000-0005-0000-0000-0000B7000000}"/>
    <cellStyle name="Normal 34" xfId="184" xr:uid="{00000000-0005-0000-0000-0000B8000000}"/>
    <cellStyle name="Normal 35" xfId="185" xr:uid="{00000000-0005-0000-0000-0000B9000000}"/>
    <cellStyle name="Normal 36" xfId="186" xr:uid="{00000000-0005-0000-0000-0000BA000000}"/>
    <cellStyle name="Normal 37" xfId="187" xr:uid="{00000000-0005-0000-0000-0000BB000000}"/>
    <cellStyle name="Normal 4" xfId="188" xr:uid="{00000000-0005-0000-0000-0000BC000000}"/>
    <cellStyle name="Normal 4 2" xfId="189" xr:uid="{00000000-0005-0000-0000-0000BD000000}"/>
    <cellStyle name="Normal 4 2 2" xfId="190" xr:uid="{00000000-0005-0000-0000-0000BE000000}"/>
    <cellStyle name="Normal 4 2 2 2" xfId="191" xr:uid="{00000000-0005-0000-0000-0000BF000000}"/>
    <cellStyle name="Normal 4 2 3" xfId="192" xr:uid="{00000000-0005-0000-0000-0000C0000000}"/>
    <cellStyle name="Normal 4 3" xfId="193" xr:uid="{00000000-0005-0000-0000-0000C1000000}"/>
    <cellStyle name="Normal 4 3 2" xfId="194" xr:uid="{00000000-0005-0000-0000-0000C2000000}"/>
    <cellStyle name="Normal 4 4" xfId="195" xr:uid="{00000000-0005-0000-0000-0000C3000000}"/>
    <cellStyle name="Normal 4 5" xfId="196" xr:uid="{00000000-0005-0000-0000-0000C4000000}"/>
    <cellStyle name="Normal 4 6" xfId="197" xr:uid="{00000000-0005-0000-0000-0000C5000000}"/>
    <cellStyle name="Normal 5" xfId="198" xr:uid="{00000000-0005-0000-0000-0000C6000000}"/>
    <cellStyle name="Normal 5 2" xfId="199" xr:uid="{00000000-0005-0000-0000-0000C7000000}"/>
    <cellStyle name="Normal 5 2 2" xfId="200" xr:uid="{00000000-0005-0000-0000-0000C8000000}"/>
    <cellStyle name="Normal 5 2 2 2" xfId="201" xr:uid="{00000000-0005-0000-0000-0000C9000000}"/>
    <cellStyle name="Normal 5 2 3" xfId="202" xr:uid="{00000000-0005-0000-0000-0000CA000000}"/>
    <cellStyle name="Normal 5 3" xfId="203" xr:uid="{00000000-0005-0000-0000-0000CB000000}"/>
    <cellStyle name="Normal 5 4" xfId="204" xr:uid="{00000000-0005-0000-0000-0000CC000000}"/>
    <cellStyle name="Normal 5 5" xfId="205" xr:uid="{00000000-0005-0000-0000-0000CD000000}"/>
    <cellStyle name="Normal 6" xfId="206" xr:uid="{00000000-0005-0000-0000-0000CE000000}"/>
    <cellStyle name="Normal 6 2" xfId="207" xr:uid="{00000000-0005-0000-0000-0000CF000000}"/>
    <cellStyle name="Normal 6 2 2" xfId="208" xr:uid="{00000000-0005-0000-0000-0000D0000000}"/>
    <cellStyle name="Normal 6 2 2 2" xfId="209" xr:uid="{00000000-0005-0000-0000-0000D1000000}"/>
    <cellStyle name="Normal 6 2 3" xfId="210" xr:uid="{00000000-0005-0000-0000-0000D2000000}"/>
    <cellStyle name="Normal 6 3" xfId="211" xr:uid="{00000000-0005-0000-0000-0000D3000000}"/>
    <cellStyle name="Normal 6 3 2" xfId="212" xr:uid="{00000000-0005-0000-0000-0000D4000000}"/>
    <cellStyle name="Normal 6 4" xfId="213" xr:uid="{00000000-0005-0000-0000-0000D5000000}"/>
    <cellStyle name="Normal 6 5" xfId="214" xr:uid="{00000000-0005-0000-0000-0000D6000000}"/>
    <cellStyle name="Normal 7" xfId="215" xr:uid="{00000000-0005-0000-0000-0000D7000000}"/>
    <cellStyle name="Normal 7 2" xfId="216" xr:uid="{00000000-0005-0000-0000-0000D8000000}"/>
    <cellStyle name="Normal 7 2 2" xfId="217" xr:uid="{00000000-0005-0000-0000-0000D9000000}"/>
    <cellStyle name="Normal 7 3" xfId="218" xr:uid="{00000000-0005-0000-0000-0000DA000000}"/>
    <cellStyle name="Normal 7 4" xfId="219" xr:uid="{00000000-0005-0000-0000-0000DB000000}"/>
    <cellStyle name="Normal 8" xfId="220" xr:uid="{00000000-0005-0000-0000-0000DC000000}"/>
    <cellStyle name="Normal 8 2" xfId="221" xr:uid="{00000000-0005-0000-0000-0000DD000000}"/>
    <cellStyle name="Normal 9" xfId="222" xr:uid="{00000000-0005-0000-0000-0000DE000000}"/>
    <cellStyle name="Normal 9 2" xfId="223" xr:uid="{00000000-0005-0000-0000-0000DF000000}"/>
    <cellStyle name="Note 2" xfId="224" xr:uid="{00000000-0005-0000-0000-0000E0000000}"/>
    <cellStyle name="Note 3" xfId="225" xr:uid="{00000000-0005-0000-0000-0000E1000000}"/>
    <cellStyle name="Note 4" xfId="226" xr:uid="{00000000-0005-0000-0000-0000E2000000}"/>
    <cellStyle name="Output" xfId="227" builtinId="21" customBuiltin="1"/>
    <cellStyle name="Output 2" xfId="228" xr:uid="{00000000-0005-0000-0000-0000E4000000}"/>
    <cellStyle name="Percent" xfId="239" builtinId="5"/>
    <cellStyle name="Percent 2" xfId="229" xr:uid="{00000000-0005-0000-0000-0000E6000000}"/>
    <cellStyle name="Percent 3" xfId="230" xr:uid="{00000000-0005-0000-0000-0000E7000000}"/>
    <cellStyle name="Percent 4" xfId="231" xr:uid="{00000000-0005-0000-0000-0000E8000000}"/>
    <cellStyle name="Title" xfId="232" builtinId="15" customBuiltin="1"/>
    <cellStyle name="Title 2" xfId="233" xr:uid="{00000000-0005-0000-0000-0000EA000000}"/>
    <cellStyle name="Title 3" xfId="234" xr:uid="{00000000-0005-0000-0000-0000EB000000}"/>
    <cellStyle name="Total" xfId="235" builtinId="25" customBuiltin="1"/>
    <cellStyle name="Total 2" xfId="236" xr:uid="{00000000-0005-0000-0000-0000ED000000}"/>
    <cellStyle name="Warning Text" xfId="237" builtinId="11" customBuiltin="1"/>
    <cellStyle name="Warning Text 2" xfId="238" xr:uid="{00000000-0005-0000-0000-0000EF000000}"/>
  </cellStyles>
  <dxfs count="3">
    <dxf>
      <numFmt numFmtId="7" formatCode="#,##0.00_);\(#,##0.00\)"/>
    </dxf>
    <dxf>
      <numFmt numFmtId="13" formatCode="0%"/>
    </dxf>
    <dxf>
      <numFmt numFmtId="13" formatCode="0%"/>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800" b="1" i="0" u="none" strike="noStrike" baseline="0">
                <a:solidFill>
                  <a:srgbClr val="000000"/>
                </a:solidFill>
                <a:latin typeface="Calibri"/>
                <a:ea typeface="Calibri"/>
                <a:cs typeface="Calibri"/>
              </a:defRPr>
            </a:pPr>
            <a:r>
              <a:rPr lang="en-US"/>
              <a:t>2022 CDBG Available\Committed\Expensed</a:t>
            </a:r>
          </a:p>
        </c:rich>
      </c:tx>
      <c:layout>
        <c:manualLayout>
          <c:xMode val="edge"/>
          <c:yMode val="edge"/>
          <c:x val="0.16513863906194781"/>
          <c:y val="1.7094017094017096E-2"/>
        </c:manualLayout>
      </c:layout>
      <c:overlay val="0"/>
    </c:title>
    <c:autoTitleDeleted val="0"/>
    <c:plotArea>
      <c:layout/>
      <c:barChart>
        <c:barDir val="col"/>
        <c:grouping val="clustered"/>
        <c:varyColors val="0"/>
        <c:ser>
          <c:idx val="0"/>
          <c:order val="0"/>
          <c:invertIfNegative val="0"/>
          <c:dPt>
            <c:idx val="0"/>
            <c:invertIfNegative val="0"/>
            <c:bubble3D val="0"/>
            <c:spPr>
              <a:solidFill>
                <a:schemeClr val="accent1">
                  <a:lumMod val="50000"/>
                </a:schemeClr>
              </a:solidFill>
            </c:spPr>
            <c:extLst>
              <c:ext xmlns:c16="http://schemas.microsoft.com/office/drawing/2014/chart" uri="{C3380CC4-5D6E-409C-BE32-E72D297353CC}">
                <c16:uniqueId val="{00000000-2658-4EB1-A6DC-175E259280E1}"/>
              </c:ext>
            </c:extLst>
          </c:dPt>
          <c:dPt>
            <c:idx val="1"/>
            <c:invertIfNegative val="0"/>
            <c:bubble3D val="0"/>
            <c:spPr>
              <a:solidFill>
                <a:schemeClr val="accent2">
                  <a:lumMod val="50000"/>
                </a:schemeClr>
              </a:solidFill>
            </c:spPr>
            <c:extLst>
              <c:ext xmlns:c16="http://schemas.microsoft.com/office/drawing/2014/chart" uri="{C3380CC4-5D6E-409C-BE32-E72D297353CC}">
                <c16:uniqueId val="{00000001-2658-4EB1-A6DC-175E259280E1}"/>
              </c:ext>
            </c:extLst>
          </c:dPt>
          <c:dPt>
            <c:idx val="2"/>
            <c:invertIfNegative val="0"/>
            <c:bubble3D val="0"/>
            <c:spPr>
              <a:solidFill>
                <a:schemeClr val="accent4">
                  <a:lumMod val="50000"/>
                </a:schemeClr>
              </a:solidFill>
            </c:spPr>
            <c:extLst>
              <c:ext xmlns:c16="http://schemas.microsoft.com/office/drawing/2014/chart" uri="{C3380CC4-5D6E-409C-BE32-E72D297353CC}">
                <c16:uniqueId val="{00000002-2658-4EB1-A6DC-175E259280E1}"/>
              </c:ext>
            </c:extLst>
          </c:dPt>
          <c:dPt>
            <c:idx val="3"/>
            <c:invertIfNegative val="0"/>
            <c:bubble3D val="0"/>
            <c:spPr>
              <a:solidFill>
                <a:schemeClr val="accent3">
                  <a:lumMod val="50000"/>
                </a:schemeClr>
              </a:solidFill>
            </c:spPr>
            <c:extLst>
              <c:ext xmlns:c16="http://schemas.microsoft.com/office/drawing/2014/chart" uri="{C3380CC4-5D6E-409C-BE32-E72D297353CC}">
                <c16:uniqueId val="{00000003-2658-4EB1-A6DC-175E259280E1}"/>
              </c:ext>
            </c:extLst>
          </c:dPt>
          <c:dPt>
            <c:idx val="4"/>
            <c:invertIfNegative val="0"/>
            <c:bubble3D val="0"/>
            <c:spPr>
              <a:solidFill>
                <a:schemeClr val="accent6">
                  <a:lumMod val="50000"/>
                </a:schemeClr>
              </a:solidFill>
            </c:spPr>
            <c:extLst>
              <c:ext xmlns:c16="http://schemas.microsoft.com/office/drawing/2014/chart" uri="{C3380CC4-5D6E-409C-BE32-E72D297353CC}">
                <c16:uniqueId val="{00000004-2658-4EB1-A6DC-175E259280E1}"/>
              </c:ext>
            </c:extLst>
          </c:dPt>
          <c:dPt>
            <c:idx val="5"/>
            <c:invertIfNegative val="0"/>
            <c:bubble3D val="0"/>
            <c:spPr>
              <a:solidFill>
                <a:schemeClr val="accent5">
                  <a:lumMod val="50000"/>
                </a:schemeClr>
              </a:solidFill>
            </c:spPr>
            <c:extLst>
              <c:ext xmlns:c16="http://schemas.microsoft.com/office/drawing/2014/chart" uri="{C3380CC4-5D6E-409C-BE32-E72D297353CC}">
                <c16:uniqueId val="{00000005-2658-4EB1-A6DC-175E259280E1}"/>
              </c:ext>
            </c:extLst>
          </c:dPt>
          <c:cat>
            <c:strRef>
              <c:f>CDBG!$A$80:$A$86</c:f>
              <c:strCache>
                <c:ptCount val="7"/>
                <c:pt idx="0">
                  <c:v>2021 Unexpended Funds</c:v>
                </c:pt>
                <c:pt idx="1">
                  <c:v>2022 CDBG Grant</c:v>
                </c:pt>
                <c:pt idx="2">
                  <c:v>Program Income</c:v>
                </c:pt>
                <c:pt idx="3">
                  <c:v>Funds to Re-Purpose</c:v>
                </c:pt>
                <c:pt idx="4">
                  <c:v>2022 Budget</c:v>
                </c:pt>
                <c:pt idx="5">
                  <c:v>Expenditures</c:v>
                </c:pt>
                <c:pt idx="6">
                  <c:v>2022 Unexpended Funds</c:v>
                </c:pt>
              </c:strCache>
            </c:strRef>
          </c:cat>
          <c:val>
            <c:numRef>
              <c:f>CDBG!$B$80:$B$86</c:f>
              <c:numCache>
                <c:formatCode>#,##0</c:formatCode>
                <c:ptCount val="7"/>
                <c:pt idx="0">
                  <c:v>815907.18</c:v>
                </c:pt>
                <c:pt idx="1">
                  <c:v>519709</c:v>
                </c:pt>
                <c:pt idx="2">
                  <c:v>5000</c:v>
                </c:pt>
                <c:pt idx="3">
                  <c:v>37685.47</c:v>
                </c:pt>
                <c:pt idx="4">
                  <c:v>1302930.7100000002</c:v>
                </c:pt>
                <c:pt idx="5">
                  <c:v>889206.75</c:v>
                </c:pt>
                <c:pt idx="6">
                  <c:v>451409.43000000017</c:v>
                </c:pt>
              </c:numCache>
            </c:numRef>
          </c:val>
          <c:extLst>
            <c:ext xmlns:c16="http://schemas.microsoft.com/office/drawing/2014/chart" uri="{C3380CC4-5D6E-409C-BE32-E72D297353CC}">
              <c16:uniqueId val="{00000006-2658-4EB1-A6DC-175E259280E1}"/>
            </c:ext>
          </c:extLst>
        </c:ser>
        <c:dLbls>
          <c:showLegendKey val="0"/>
          <c:showVal val="0"/>
          <c:showCatName val="0"/>
          <c:showSerName val="0"/>
          <c:showPercent val="0"/>
          <c:showBubbleSize val="0"/>
        </c:dLbls>
        <c:gapWidth val="150"/>
        <c:axId val="488901896"/>
        <c:axId val="1"/>
      </c:barChart>
      <c:catAx>
        <c:axId val="48890189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8901896"/>
        <c:crosses val="autoZero"/>
        <c:crossBetween val="between"/>
      </c:valAx>
      <c:dTable>
        <c:showHorzBorder val="1"/>
        <c:showVertBorder val="1"/>
        <c:showOutline val="1"/>
        <c:showKeys val="0"/>
        <c:txPr>
          <a:bodyPr/>
          <a:lstStyle/>
          <a:p>
            <a:pPr rtl="0">
              <a:defRPr sz="1000" b="0" i="0" u="none" strike="noStrike" baseline="0">
                <a:solidFill>
                  <a:srgbClr val="000000"/>
                </a:solidFill>
                <a:latin typeface="Calibri"/>
                <a:ea typeface="Calibri"/>
                <a:cs typeface="Calibri"/>
              </a:defRPr>
            </a:pPr>
            <a:endParaRPr lang="en-U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pivotSource>
    <c:name>[Performance Report 2022 (Recovered) In Progress.xlsx]CDBG-Expenditures!PivotTable5</c:name>
    <c:fmtId val="0"/>
  </c:pivotSource>
  <c:chart>
    <c:title>
      <c:tx>
        <c:rich>
          <a:bodyPr/>
          <a:lstStyle/>
          <a:p>
            <a:pPr>
              <a:defRPr sz="1800" b="1" i="0" u="none" strike="noStrike" baseline="0">
                <a:solidFill>
                  <a:srgbClr val="000000"/>
                </a:solidFill>
                <a:latin typeface="Calibri"/>
                <a:ea typeface="Calibri"/>
                <a:cs typeface="Calibri"/>
              </a:defRPr>
            </a:pPr>
            <a:r>
              <a:rPr lang="en-US"/>
              <a:t>CDBG Expenditures - 2022</a:t>
            </a:r>
          </a:p>
        </c:rich>
      </c:tx>
      <c:overlay val="0"/>
    </c:title>
    <c:autoTitleDeleted val="0"/>
    <c:pivotFmts>
      <c:pivotFmt>
        <c:idx val="0"/>
        <c:marker>
          <c:symbol val="none"/>
        </c:marker>
        <c:dLbl>
          <c:idx val="0"/>
          <c:numFmt formatCode="\$#,##0_);\(\$#,##0\)" sourceLinked="0"/>
          <c:spPr/>
          <c:txPr>
            <a:bodyPr wrap="square" lIns="38100" tIns="19050" rIns="38100" bIns="19050" anchor="ctr">
              <a:spAutoFit/>
            </a:bodyPr>
            <a:lstStyle/>
            <a:p>
              <a:pPr>
                <a:defRPr sz="16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5">
              <a:lumMod val="50000"/>
            </a:schemeClr>
          </a:solidFill>
        </c:spPr>
        <c:dLbl>
          <c:idx val="0"/>
          <c:layout>
            <c:manualLayout>
              <c:x val="2.0232675771370023E-3"/>
              <c:y val="0.145610278372591"/>
            </c:manualLayout>
          </c:layout>
          <c:numFmt formatCode="\$#,##0_);\(\$#,##0\)" sourceLinked="0"/>
          <c:spPr/>
          <c:txPr>
            <a:bodyPr/>
            <a:lstStyle/>
            <a:p>
              <a:pPr>
                <a:defRPr sz="14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dLbl>
          <c:idx val="0"/>
          <c:layout>
            <c:manualLayout>
              <c:x val="-7.4185620829737141E-17"/>
              <c:y val="0.10849393290506781"/>
            </c:manualLayout>
          </c:layout>
          <c:numFmt formatCode="\$#,##0_);\(\$#,##0\)" sourceLinked="0"/>
          <c:spPr/>
          <c:txPr>
            <a:bodyPr/>
            <a:lstStyle/>
            <a:p>
              <a:pPr>
                <a:defRPr sz="16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0"/>
    </c:view3D>
    <c:floor>
      <c:thickness val="0"/>
    </c:floor>
    <c:sideWall>
      <c:thickness val="0"/>
    </c:sideWall>
    <c:backWall>
      <c:thickness val="0"/>
    </c:backWall>
    <c:plotArea>
      <c:layout/>
      <c:bar3DChart>
        <c:barDir val="col"/>
        <c:grouping val="clustered"/>
        <c:varyColors val="0"/>
        <c:ser>
          <c:idx val="0"/>
          <c:order val="0"/>
          <c:tx>
            <c:strRef>
              <c:f>'CDBG-Expenditures'!$B$1:$B$2</c:f>
              <c:strCache>
                <c:ptCount val="1"/>
                <c:pt idx="0">
                  <c:v>Total</c:v>
                </c:pt>
              </c:strCache>
            </c:strRef>
          </c:tx>
          <c:invertIfNegative val="0"/>
          <c:dPt>
            <c:idx val="0"/>
            <c:invertIfNegative val="0"/>
            <c:bubble3D val="0"/>
            <c:spPr>
              <a:solidFill>
                <a:schemeClr val="accent5">
                  <a:lumMod val="50000"/>
                </a:schemeClr>
              </a:solidFill>
            </c:spPr>
            <c:extLst>
              <c:ext xmlns:c16="http://schemas.microsoft.com/office/drawing/2014/chart" uri="{C3380CC4-5D6E-409C-BE32-E72D297353CC}">
                <c16:uniqueId val="{00000000-D9B5-431E-ACA5-7300AD192525}"/>
              </c:ext>
            </c:extLst>
          </c:dPt>
          <c:dLbls>
            <c:dLbl>
              <c:idx val="0"/>
              <c:layout>
                <c:manualLayout>
                  <c:x val="2.0232675771370023E-3"/>
                  <c:y val="0.145610278372591"/>
                </c:manualLayout>
              </c:layout>
              <c:numFmt formatCode="\$#,##0_);\(\$#,##0\)" sourceLinked="0"/>
              <c:spPr/>
              <c:txPr>
                <a:bodyPr/>
                <a:lstStyle/>
                <a:p>
                  <a:pPr>
                    <a:defRPr sz="14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B5-431E-ACA5-7300AD192525}"/>
                </c:ext>
              </c:extLst>
            </c:dLbl>
            <c:dLbl>
              <c:idx val="1"/>
              <c:layout>
                <c:manualLayout>
                  <c:x val="-7.4185620829737141E-17"/>
                  <c:y val="0.10849393290506781"/>
                </c:manualLayout>
              </c:layout>
              <c:numFmt formatCode="\$#,##0_);\(\$#,##0\)" sourceLinked="0"/>
              <c:spPr/>
              <c:txPr>
                <a:bodyPr/>
                <a:lstStyle/>
                <a:p>
                  <a:pPr>
                    <a:defRPr sz="16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B5-431E-ACA5-7300AD192525}"/>
                </c:ext>
              </c:extLst>
            </c:dLbl>
            <c:numFmt formatCode="\$#,##0_);\(\$#,##0\)" sourceLinked="0"/>
            <c:spPr/>
            <c:txPr>
              <a:bodyPr wrap="square" lIns="38100" tIns="19050" rIns="38100" bIns="19050" anchor="ctr">
                <a:spAutoFit/>
              </a:bodyPr>
              <a:lstStyle/>
              <a:p>
                <a:pPr>
                  <a:defRPr sz="16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'CDBG-Expenditures'!$A$3:$A$5</c:f>
              <c:strCache>
                <c:ptCount val="2"/>
                <c:pt idx="0">
                  <c:v>Housing</c:v>
                </c:pt>
                <c:pt idx="1">
                  <c:v>Program Admin\Planning</c:v>
                </c:pt>
              </c:strCache>
            </c:strRef>
          </c:cat>
          <c:val>
            <c:numRef>
              <c:f>'CDBG-Expenditures'!$B$3:$B$5</c:f>
              <c:numCache>
                <c:formatCode>General</c:formatCode>
                <c:ptCount val="2"/>
                <c:pt idx="0">
                  <c:v>780405.75</c:v>
                </c:pt>
                <c:pt idx="1">
                  <c:v>108801</c:v>
                </c:pt>
              </c:numCache>
            </c:numRef>
          </c:val>
          <c:extLst>
            <c:ext xmlns:c16="http://schemas.microsoft.com/office/drawing/2014/chart" uri="{C3380CC4-5D6E-409C-BE32-E72D297353CC}">
              <c16:uniqueId val="{00000002-D9B5-431E-ACA5-7300AD192525}"/>
            </c:ext>
          </c:extLst>
        </c:ser>
        <c:dLbls>
          <c:showLegendKey val="0"/>
          <c:showVal val="0"/>
          <c:showCatName val="0"/>
          <c:showSerName val="0"/>
          <c:showPercent val="0"/>
          <c:showBubbleSize val="0"/>
        </c:dLbls>
        <c:gapWidth val="75"/>
        <c:shape val="box"/>
        <c:axId val="486734688"/>
        <c:axId val="1"/>
        <c:axId val="0"/>
      </c:bar3DChart>
      <c:catAx>
        <c:axId val="486734688"/>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scaling>
        <c:delete val="0"/>
        <c:axPos val="l"/>
        <c:numFmt formatCode="\$#,##0" sourceLinked="0"/>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n-US"/>
          </a:p>
        </c:txPr>
        <c:crossAx val="486734688"/>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17" orientation="landscape"/>
  </c:printSettings>
  <c:extLs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Report 2022 (Recovered) In Progress.xlsx]CDBG-Budget-Total!PivotTable2</c:name>
    <c:fmtId val="0"/>
  </c:pivotSource>
  <c:chart>
    <c:title>
      <c:tx>
        <c:rich>
          <a:bodyPr/>
          <a:lstStyle/>
          <a:p>
            <a:pPr>
              <a:defRPr sz="2400" b="1" i="0" u="none" strike="noStrike" baseline="0">
                <a:solidFill>
                  <a:srgbClr val="000000"/>
                </a:solidFill>
                <a:latin typeface="Calibri"/>
                <a:ea typeface="Calibri"/>
                <a:cs typeface="Calibri"/>
              </a:defRPr>
            </a:pPr>
            <a:r>
              <a:rPr lang="en-US"/>
              <a:t>CDBG Funds Budgeted as a % of Total Budget - 2022</a:t>
            </a:r>
          </a:p>
        </c:rich>
      </c:tx>
      <c:overlay val="0"/>
      <c:spPr>
        <a:noFill/>
        <a:ln w="25400">
          <a:noFill/>
        </a:ln>
      </c:spPr>
    </c:title>
    <c:autoTitleDeleted val="0"/>
    <c:pivotFmts>
      <c:pivotFmt>
        <c:idx val="0"/>
        <c:marker>
          <c:symbol val="none"/>
        </c:marker>
        <c:dLbl>
          <c:idx val="0"/>
          <c:spPr>
            <a:noFill/>
            <a:ln w="25400">
              <a:noFill/>
            </a:ln>
          </c:spPr>
          <c:txPr>
            <a:bodyPr wrap="square" lIns="38100" tIns="19050" rIns="38100" bIns="19050" anchor="ctr">
              <a:spAutoFit/>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bg1">
              <a:lumMod val="75000"/>
            </a:schemeClr>
          </a:solidFill>
          <a:ln>
            <a:noFill/>
          </a:ln>
          <a:effectLst/>
        </c:spPr>
        <c:dLbl>
          <c:idx val="0"/>
          <c:spPr>
            <a:noFill/>
            <a:ln w="25400">
              <a:noFill/>
            </a:ln>
          </c:spPr>
          <c:txPr>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
        <c:spPr>
          <a:solidFill>
            <a:schemeClr val="accent5">
              <a:lumMod val="50000"/>
            </a:schemeClr>
          </a:solidFill>
        </c:spPr>
        <c:dLbl>
          <c:idx val="0"/>
          <c:spPr>
            <a:noFill/>
            <a:ln w="25400">
              <a:noFill/>
            </a:ln>
          </c:spPr>
          <c:txPr>
            <a:bodyPr/>
            <a:lstStyle/>
            <a:p>
              <a:pPr>
                <a:defRPr sz="1600" b="1" i="0" u="none" strike="noStrike" baseline="0">
                  <a:solidFill>
                    <a:srgbClr val="FFFFFF"/>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3"/>
        <c:dLbl>
          <c:idx val="0"/>
          <c:layout>
            <c:manualLayout>
              <c:x val="-4.5413260672116276E-2"/>
              <c:y val="5.8361391694725026E-3"/>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9155313351498635"/>
                  <c:h val="9.2031425364758696E-2"/>
                </c:manualLayout>
              </c15:layout>
            </c:ext>
          </c:extLst>
        </c:dLbl>
      </c:pivotFmt>
      <c:pivotFmt>
        <c:idx val="4"/>
        <c:marker>
          <c:symbol val="none"/>
        </c:marker>
        <c:dLbl>
          <c:idx val="0"/>
          <c:delete val="1"/>
          <c:extLst>
            <c:ext xmlns:c15="http://schemas.microsoft.com/office/drawing/2012/chart" uri="{CE6537A1-D6FC-4f65-9D91-7224C49458BB}"/>
          </c:extLst>
        </c:dLbl>
      </c:pivotFmt>
      <c:pivotFmt>
        <c:idx val="5"/>
      </c:pivotFmt>
      <c:pivotFmt>
        <c:idx val="6"/>
      </c:pivotFmt>
      <c:pivotFmt>
        <c:idx val="7"/>
      </c:pivotFmt>
    </c:pivotFmts>
    <c:plotArea>
      <c:layout/>
      <c:pieChart>
        <c:varyColors val="1"/>
        <c:ser>
          <c:idx val="0"/>
          <c:order val="0"/>
          <c:tx>
            <c:strRef>
              <c:f>'CDBG-Budget-Total'!$B$1:$B$2</c:f>
              <c:strCache>
                <c:ptCount val="1"/>
                <c:pt idx="0">
                  <c:v>Sum of Category Budget as % of Total Budget</c:v>
                </c:pt>
              </c:strCache>
            </c:strRef>
          </c:tx>
          <c:dPt>
            <c:idx val="0"/>
            <c:bubble3D val="0"/>
            <c:spPr>
              <a:solidFill>
                <a:schemeClr val="bg1">
                  <a:lumMod val="75000"/>
                </a:schemeClr>
              </a:solidFill>
              <a:ln>
                <a:noFill/>
              </a:ln>
              <a:effectLst/>
            </c:spPr>
            <c:extLst>
              <c:ext xmlns:c16="http://schemas.microsoft.com/office/drawing/2014/chart" uri="{C3380CC4-5D6E-409C-BE32-E72D297353CC}">
                <c16:uniqueId val="{00000000-2A0B-4E42-937C-78ACCCD0A723}"/>
              </c:ext>
            </c:extLst>
          </c:dPt>
          <c:dPt>
            <c:idx val="1"/>
            <c:bubble3D val="0"/>
            <c:spPr>
              <a:solidFill>
                <a:schemeClr val="accent5">
                  <a:lumMod val="50000"/>
                </a:schemeClr>
              </a:solidFill>
            </c:spPr>
            <c:extLst>
              <c:ext xmlns:c16="http://schemas.microsoft.com/office/drawing/2014/chart" uri="{C3380CC4-5D6E-409C-BE32-E72D297353CC}">
                <c16:uniqueId val="{00000001-2A0B-4E42-937C-78ACCCD0A723}"/>
              </c:ext>
            </c:extLst>
          </c:dPt>
          <c:dPt>
            <c:idx val="2"/>
            <c:bubble3D val="0"/>
            <c:extLst>
              <c:ext xmlns:c16="http://schemas.microsoft.com/office/drawing/2014/chart" uri="{C3380CC4-5D6E-409C-BE32-E72D297353CC}">
                <c16:uniqueId val="{00000002-2A0B-4E42-937C-78ACCCD0A723}"/>
              </c:ext>
            </c:extLst>
          </c:dPt>
          <c:dLbls>
            <c:dLbl>
              <c:idx val="0"/>
              <c:spPr>
                <a:noFill/>
                <a:ln w="25400">
                  <a:noFill/>
                </a:ln>
              </c:spPr>
              <c:txPr>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6="http://schemas.microsoft.com/office/drawing/2014/chart" uri="{C3380CC4-5D6E-409C-BE32-E72D297353CC}">
                  <c16:uniqueId val="{00000000-2A0B-4E42-937C-78ACCCD0A723}"/>
                </c:ext>
              </c:extLst>
            </c:dLbl>
            <c:dLbl>
              <c:idx val="1"/>
              <c:spPr>
                <a:noFill/>
                <a:ln w="25400">
                  <a:noFill/>
                </a:ln>
              </c:spPr>
              <c:txPr>
                <a:bodyPr/>
                <a:lstStyle/>
                <a:p>
                  <a:pPr>
                    <a:defRPr sz="1600" b="1" i="0" u="none" strike="noStrike" baseline="0">
                      <a:solidFill>
                        <a:srgbClr val="FFFFFF"/>
                      </a:solidFill>
                      <a:latin typeface="Calibri"/>
                      <a:ea typeface="Calibri"/>
                      <a:cs typeface="Calibri"/>
                    </a:defRPr>
                  </a:pPr>
                  <a:endParaRPr lang="en-US"/>
                </a:p>
              </c:txPr>
              <c:dLblPos val="bestFit"/>
              <c:showLegendKey val="0"/>
              <c:showVal val="1"/>
              <c:showCatName val="1"/>
              <c:showSerName val="0"/>
              <c:showPercent val="0"/>
              <c:showBubbleSize val="0"/>
              <c:extLst>
                <c:ext xmlns:c16="http://schemas.microsoft.com/office/drawing/2014/chart" uri="{C3380CC4-5D6E-409C-BE32-E72D297353CC}">
                  <c16:uniqueId val="{00000001-2A0B-4E42-937C-78ACCCD0A723}"/>
                </c:ext>
              </c:extLst>
            </c:dLbl>
            <c:dLbl>
              <c:idx val="2"/>
              <c:layout>
                <c:manualLayout>
                  <c:x val="-4.5413260672116276E-2"/>
                  <c:y val="5.8361391694725026E-3"/>
                </c:manualLayout>
              </c:layout>
              <c:spPr>
                <a:noFill/>
                <a:ln w="25400">
                  <a:noFill/>
                </a:ln>
              </c:spPr>
              <c:txPr>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9155313351498635"/>
                      <c:h val="9.2031425364758696E-2"/>
                    </c:manualLayout>
                  </c15:layout>
                </c:ext>
                <c:ext xmlns:c16="http://schemas.microsoft.com/office/drawing/2014/chart" uri="{C3380CC4-5D6E-409C-BE32-E72D297353CC}">
                  <c16:uniqueId val="{00000002-2A0B-4E42-937C-78ACCCD0A723}"/>
                </c:ext>
              </c:extLst>
            </c:dLbl>
            <c:spPr>
              <a:noFill/>
              <a:ln w="25400">
                <a:noFill/>
              </a:ln>
            </c:spPr>
            <c:txPr>
              <a:bodyPr wrap="square" lIns="38100" tIns="19050" rIns="38100" bIns="19050" anchor="ctr">
                <a:spAutoFit/>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'CDBG-Budget-Total'!$A$3:$A$6</c:f>
              <c:strCache>
                <c:ptCount val="3"/>
                <c:pt idx="0">
                  <c:v>CDBG Funds Not Allocated </c:v>
                </c:pt>
                <c:pt idx="1">
                  <c:v>Housing</c:v>
                </c:pt>
                <c:pt idx="2">
                  <c:v>Program Admin\Planning</c:v>
                </c:pt>
              </c:strCache>
            </c:strRef>
          </c:cat>
          <c:val>
            <c:numRef>
              <c:f>'CDBG-Budget-Total'!$B$3:$B$6</c:f>
              <c:numCache>
                <c:formatCode>0%</c:formatCode>
                <c:ptCount val="3"/>
                <c:pt idx="0">
                  <c:v>7.002839545021752E-3</c:v>
                </c:pt>
                <c:pt idx="1">
                  <c:v>0.91183970344144283</c:v>
                </c:pt>
                <c:pt idx="2">
                  <c:v>8.115745701353537E-2</c:v>
                </c:pt>
              </c:numCache>
            </c:numRef>
          </c:val>
          <c:extLst>
            <c:ext xmlns:c16="http://schemas.microsoft.com/office/drawing/2014/chart" uri="{C3380CC4-5D6E-409C-BE32-E72D297353CC}">
              <c16:uniqueId val="{00000004-2A0B-4E42-937C-78ACCCD0A723}"/>
            </c:ext>
          </c:extLst>
        </c:ser>
        <c:ser>
          <c:idx val="1"/>
          <c:order val="1"/>
          <c:tx>
            <c:strRef>
              <c:f>'CDBG-Budget-Total'!$C$1:$C$2</c:f>
              <c:strCache>
                <c:ptCount val="1"/>
                <c:pt idx="0">
                  <c:v>Sum of Budget</c:v>
                </c:pt>
              </c:strCache>
            </c:strRef>
          </c:tx>
          <c:dPt>
            <c:idx val="0"/>
            <c:bubble3D val="0"/>
            <c:extLst>
              <c:ext xmlns:c16="http://schemas.microsoft.com/office/drawing/2014/chart" uri="{C3380CC4-5D6E-409C-BE32-E72D297353CC}">
                <c16:uniqueId val="{00000005-2A0B-4E42-937C-78ACCCD0A723}"/>
              </c:ext>
            </c:extLst>
          </c:dPt>
          <c:dPt>
            <c:idx val="1"/>
            <c:bubble3D val="0"/>
            <c:extLst>
              <c:ext xmlns:c16="http://schemas.microsoft.com/office/drawing/2014/chart" uri="{C3380CC4-5D6E-409C-BE32-E72D297353CC}">
                <c16:uniqueId val="{00000006-2A0B-4E42-937C-78ACCCD0A723}"/>
              </c:ext>
            </c:extLst>
          </c:dPt>
          <c:dPt>
            <c:idx val="2"/>
            <c:bubble3D val="0"/>
            <c:extLst>
              <c:ext xmlns:c16="http://schemas.microsoft.com/office/drawing/2014/chart" uri="{C3380CC4-5D6E-409C-BE32-E72D297353CC}">
                <c16:uniqueId val="{00000007-2A0B-4E42-937C-78ACCCD0A723}"/>
              </c:ext>
            </c:extLst>
          </c:dPt>
          <c:cat>
            <c:strRef>
              <c:f>'CDBG-Budget-Total'!$A$3:$A$6</c:f>
              <c:strCache>
                <c:ptCount val="3"/>
                <c:pt idx="0">
                  <c:v>CDBG Funds Not Allocated </c:v>
                </c:pt>
                <c:pt idx="1">
                  <c:v>Housing</c:v>
                </c:pt>
                <c:pt idx="2">
                  <c:v>Program Admin\Planning</c:v>
                </c:pt>
              </c:strCache>
            </c:strRef>
          </c:cat>
          <c:val>
            <c:numRef>
              <c:f>'CDBG-Budget-Total'!$C$3:$C$6</c:f>
              <c:numCache>
                <c:formatCode>#,##0.00_);\(#,##0.00\)</c:formatCode>
                <c:ptCount val="3"/>
                <c:pt idx="0">
                  <c:v>9388.1200000000008</c:v>
                </c:pt>
                <c:pt idx="1">
                  <c:v>1222427.06</c:v>
                </c:pt>
                <c:pt idx="2">
                  <c:v>108801</c:v>
                </c:pt>
              </c:numCache>
            </c:numRef>
          </c:val>
          <c:extLst>
            <c:ext xmlns:c16="http://schemas.microsoft.com/office/drawing/2014/chart" uri="{C3380CC4-5D6E-409C-BE32-E72D297353CC}">
              <c16:uniqueId val="{00000009-2A0B-4E42-937C-78ACCCD0A72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Summary of Unspent Funds</a:t>
            </a:r>
            <a:r>
              <a:rPr lang="en-US" b="1" baseline="0"/>
              <a:t> by Project- End of 2022</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'ALL Graphs One Page'!$C$57</c:f>
              <c:strCache>
                <c:ptCount val="1"/>
                <c:pt idx="0">
                  <c:v>Budget ($)</c:v>
                </c:pt>
              </c:strCache>
            </c:strRef>
          </c:tx>
          <c:spPr>
            <a:solidFill>
              <a:schemeClr val="accent1"/>
            </a:solidFill>
            <a:ln>
              <a:noFill/>
            </a:ln>
            <a:effectLst/>
          </c:spPr>
          <c:invertIfNegative val="0"/>
          <c:cat>
            <c:strRef>
              <c:f>'ALL Graphs One Page'!$B$58:$B$67</c:f>
              <c:strCache>
                <c:ptCount val="10"/>
                <c:pt idx="0">
                  <c:v>Rehab project delivery</c:v>
                </c:pt>
                <c:pt idx="1">
                  <c:v>General Housing Rehab</c:v>
                </c:pt>
                <c:pt idx="2">
                  <c:v>HSBC - Housing Counseling</c:v>
                </c:pt>
                <c:pt idx="3">
                  <c:v>LHA - Playground</c:v>
                </c:pt>
                <c:pt idx="4">
                  <c:v>LHA  - Parking Lot ADA </c:v>
                </c:pt>
                <c:pt idx="5">
                  <c:v>LHA - Security Cameras</c:v>
                </c:pt>
                <c:pt idx="6">
                  <c:v>E for All</c:v>
                </c:pt>
                <c:pt idx="7">
                  <c:v>Imagine Rehab</c:v>
                </c:pt>
                <c:pt idx="8">
                  <c:v>Crismann II Land Acquisition</c:v>
                </c:pt>
                <c:pt idx="9">
                  <c:v>Fresh Start Utility Assistance</c:v>
                </c:pt>
              </c:strCache>
            </c:strRef>
          </c:cat>
          <c:val>
            <c:numRef>
              <c:f>'ALL Graphs One Page'!$C$58:$C$67</c:f>
              <c:numCache>
                <c:formatCode>"$"#,##0_);[Red]\("$"#,##0\)</c:formatCode>
                <c:ptCount val="10"/>
                <c:pt idx="0">
                  <c:v>41410</c:v>
                </c:pt>
                <c:pt idx="1">
                  <c:v>425139</c:v>
                </c:pt>
                <c:pt idx="2">
                  <c:v>50000</c:v>
                </c:pt>
                <c:pt idx="3">
                  <c:v>25800</c:v>
                </c:pt>
                <c:pt idx="4">
                  <c:v>36805</c:v>
                </c:pt>
                <c:pt idx="5">
                  <c:v>61600</c:v>
                </c:pt>
                <c:pt idx="6">
                  <c:v>30206</c:v>
                </c:pt>
                <c:pt idx="7">
                  <c:v>49999</c:v>
                </c:pt>
                <c:pt idx="8">
                  <c:v>350000</c:v>
                </c:pt>
                <c:pt idx="9">
                  <c:v>89551</c:v>
                </c:pt>
              </c:numCache>
            </c:numRef>
          </c:val>
          <c:extLst>
            <c:ext xmlns:c16="http://schemas.microsoft.com/office/drawing/2014/chart" uri="{C3380CC4-5D6E-409C-BE32-E72D297353CC}">
              <c16:uniqueId val="{00000000-BBDF-48DB-86F1-E941B47BF25C}"/>
            </c:ext>
          </c:extLst>
        </c:ser>
        <c:ser>
          <c:idx val="1"/>
          <c:order val="1"/>
          <c:tx>
            <c:strRef>
              <c:f>'ALL Graphs One Page'!$D$57</c:f>
              <c:strCache>
                <c:ptCount val="1"/>
                <c:pt idx="0">
                  <c:v>2022 Expenditures ($)</c:v>
                </c:pt>
              </c:strCache>
            </c:strRef>
          </c:tx>
          <c:spPr>
            <a:solidFill>
              <a:schemeClr val="accent2"/>
            </a:solidFill>
            <a:ln>
              <a:noFill/>
            </a:ln>
            <a:effectLst/>
          </c:spPr>
          <c:invertIfNegative val="0"/>
          <c:cat>
            <c:strRef>
              <c:f>'ALL Graphs One Page'!$B$58:$B$67</c:f>
              <c:strCache>
                <c:ptCount val="10"/>
                <c:pt idx="0">
                  <c:v>Rehab project delivery</c:v>
                </c:pt>
                <c:pt idx="1">
                  <c:v>General Housing Rehab</c:v>
                </c:pt>
                <c:pt idx="2">
                  <c:v>HSBC - Housing Counseling</c:v>
                </c:pt>
                <c:pt idx="3">
                  <c:v>LHA - Playground</c:v>
                </c:pt>
                <c:pt idx="4">
                  <c:v>LHA  - Parking Lot ADA </c:v>
                </c:pt>
                <c:pt idx="5">
                  <c:v>LHA - Security Cameras</c:v>
                </c:pt>
                <c:pt idx="6">
                  <c:v>E for All</c:v>
                </c:pt>
                <c:pt idx="7">
                  <c:v>Imagine Rehab</c:v>
                </c:pt>
                <c:pt idx="8">
                  <c:v>Crismann II Land Acquisition</c:v>
                </c:pt>
                <c:pt idx="9">
                  <c:v>Fresh Start Utility Assistance</c:v>
                </c:pt>
              </c:strCache>
            </c:strRef>
          </c:cat>
          <c:val>
            <c:numRef>
              <c:f>'ALL Graphs One Page'!$D$58:$D$67</c:f>
              <c:numCache>
                <c:formatCode>"$"#,##0_);[Red]\("$"#,##0\)</c:formatCode>
                <c:ptCount val="10"/>
                <c:pt idx="0">
                  <c:v>16502</c:v>
                </c:pt>
                <c:pt idx="1">
                  <c:v>141232</c:v>
                </c:pt>
                <c:pt idx="2">
                  <c:v>50000</c:v>
                </c:pt>
                <c:pt idx="3">
                  <c:v>0</c:v>
                </c:pt>
                <c:pt idx="4">
                  <c:v>0</c:v>
                </c:pt>
                <c:pt idx="5">
                  <c:v>0</c:v>
                </c:pt>
                <c:pt idx="6">
                  <c:v>30206</c:v>
                </c:pt>
                <c:pt idx="7">
                  <c:v>49999</c:v>
                </c:pt>
                <c:pt idx="8">
                  <c:v>350000</c:v>
                </c:pt>
                <c:pt idx="9">
                  <c:v>89551</c:v>
                </c:pt>
              </c:numCache>
            </c:numRef>
          </c:val>
          <c:extLst>
            <c:ext xmlns:c16="http://schemas.microsoft.com/office/drawing/2014/chart" uri="{C3380CC4-5D6E-409C-BE32-E72D297353CC}">
              <c16:uniqueId val="{00000001-BBDF-48DB-86F1-E941B47BF25C}"/>
            </c:ext>
          </c:extLst>
        </c:ser>
        <c:dLbls>
          <c:showLegendKey val="0"/>
          <c:showVal val="0"/>
          <c:showCatName val="0"/>
          <c:showSerName val="0"/>
          <c:showPercent val="0"/>
          <c:showBubbleSize val="0"/>
        </c:dLbls>
        <c:gapWidth val="182"/>
        <c:axId val="707652592"/>
        <c:axId val="707649680"/>
      </c:barChart>
      <c:catAx>
        <c:axId val="707652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49680"/>
        <c:crosses val="autoZero"/>
        <c:auto val="1"/>
        <c:lblAlgn val="ctr"/>
        <c:lblOffset val="100"/>
        <c:noMultiLvlLbl val="0"/>
      </c:catAx>
      <c:valAx>
        <c:axId val="70764968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652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800" b="1" i="0" u="none" strike="noStrike" baseline="0">
                <a:solidFill>
                  <a:srgbClr val="000000"/>
                </a:solidFill>
                <a:latin typeface="Calibri"/>
                <a:ea typeface="Calibri"/>
                <a:cs typeface="Calibri"/>
              </a:defRPr>
            </a:pPr>
            <a:r>
              <a:rPr lang="en-US"/>
              <a:t>2022 CDBG Available\Committed\Expensed</a:t>
            </a:r>
          </a:p>
        </c:rich>
      </c:tx>
      <c:overlay val="0"/>
    </c:title>
    <c:autoTitleDeleted val="0"/>
    <c:plotArea>
      <c:layout>
        <c:manualLayout>
          <c:layoutTarget val="inner"/>
          <c:xMode val="edge"/>
          <c:yMode val="edge"/>
          <c:x val="8.0062332883178725E-2"/>
          <c:y val="8.5015333835519125E-2"/>
          <c:w val="0.8977485282982729"/>
          <c:h val="0.76407616694971947"/>
        </c:manualLayout>
      </c:layout>
      <c:barChart>
        <c:barDir val="col"/>
        <c:grouping val="clustered"/>
        <c:varyColors val="0"/>
        <c:ser>
          <c:idx val="0"/>
          <c:order val="0"/>
          <c:invertIfNegative val="0"/>
          <c:dPt>
            <c:idx val="1"/>
            <c:invertIfNegative val="0"/>
            <c:bubble3D val="0"/>
            <c:spPr>
              <a:solidFill>
                <a:schemeClr val="accent2">
                  <a:lumMod val="75000"/>
                </a:schemeClr>
              </a:solidFill>
            </c:spPr>
            <c:extLst>
              <c:ext xmlns:c16="http://schemas.microsoft.com/office/drawing/2014/chart" uri="{C3380CC4-5D6E-409C-BE32-E72D297353CC}">
                <c16:uniqueId val="{00000000-372E-4356-9218-77BDC25FDFBF}"/>
              </c:ext>
            </c:extLst>
          </c:dPt>
          <c:dPt>
            <c:idx val="2"/>
            <c:invertIfNegative val="0"/>
            <c:bubble3D val="0"/>
            <c:spPr>
              <a:solidFill>
                <a:schemeClr val="accent4">
                  <a:lumMod val="75000"/>
                </a:schemeClr>
              </a:solidFill>
            </c:spPr>
            <c:extLst>
              <c:ext xmlns:c16="http://schemas.microsoft.com/office/drawing/2014/chart" uri="{C3380CC4-5D6E-409C-BE32-E72D297353CC}">
                <c16:uniqueId val="{00000001-372E-4356-9218-77BDC25FDFBF}"/>
              </c:ext>
            </c:extLst>
          </c:dPt>
          <c:dPt>
            <c:idx val="3"/>
            <c:invertIfNegative val="0"/>
            <c:bubble3D val="0"/>
            <c:spPr>
              <a:solidFill>
                <a:schemeClr val="accent3">
                  <a:lumMod val="75000"/>
                </a:schemeClr>
              </a:solidFill>
            </c:spPr>
            <c:extLst>
              <c:ext xmlns:c16="http://schemas.microsoft.com/office/drawing/2014/chart" uri="{C3380CC4-5D6E-409C-BE32-E72D297353CC}">
                <c16:uniqueId val="{00000002-372E-4356-9218-77BDC25FDFBF}"/>
              </c:ext>
            </c:extLst>
          </c:dPt>
          <c:dPt>
            <c:idx val="4"/>
            <c:invertIfNegative val="0"/>
            <c:bubble3D val="0"/>
            <c:spPr>
              <a:solidFill>
                <a:schemeClr val="accent6">
                  <a:lumMod val="75000"/>
                </a:schemeClr>
              </a:solidFill>
            </c:spPr>
            <c:extLst>
              <c:ext xmlns:c16="http://schemas.microsoft.com/office/drawing/2014/chart" uri="{C3380CC4-5D6E-409C-BE32-E72D297353CC}">
                <c16:uniqueId val="{00000003-372E-4356-9218-77BDC25FDFBF}"/>
              </c:ext>
            </c:extLst>
          </c:dPt>
          <c:dPt>
            <c:idx val="5"/>
            <c:invertIfNegative val="0"/>
            <c:bubble3D val="0"/>
            <c:spPr>
              <a:solidFill>
                <a:schemeClr val="accent5">
                  <a:lumMod val="75000"/>
                </a:schemeClr>
              </a:solidFill>
            </c:spPr>
            <c:extLst>
              <c:ext xmlns:c16="http://schemas.microsoft.com/office/drawing/2014/chart" uri="{C3380CC4-5D6E-409C-BE32-E72D297353CC}">
                <c16:uniqueId val="{00000004-372E-4356-9218-77BDC25FDFBF}"/>
              </c:ext>
            </c:extLst>
          </c:dPt>
          <c:cat>
            <c:strRef>
              <c:f>CDBG!$A$80:$A$86</c:f>
              <c:strCache>
                <c:ptCount val="7"/>
                <c:pt idx="0">
                  <c:v>2021 Unexpended Funds</c:v>
                </c:pt>
                <c:pt idx="1">
                  <c:v>2022 CDBG Grant</c:v>
                </c:pt>
                <c:pt idx="2">
                  <c:v>Program Income</c:v>
                </c:pt>
                <c:pt idx="3">
                  <c:v>Funds to Re-Purpose</c:v>
                </c:pt>
                <c:pt idx="4">
                  <c:v>2022 Budget</c:v>
                </c:pt>
                <c:pt idx="5">
                  <c:v>Expenditures</c:v>
                </c:pt>
                <c:pt idx="6">
                  <c:v>2022 Unexpended Funds</c:v>
                </c:pt>
              </c:strCache>
            </c:strRef>
          </c:cat>
          <c:val>
            <c:numRef>
              <c:f>CDBG!$B$80:$B$86</c:f>
              <c:numCache>
                <c:formatCode>#,##0</c:formatCode>
                <c:ptCount val="7"/>
                <c:pt idx="0">
                  <c:v>815907.18</c:v>
                </c:pt>
                <c:pt idx="1">
                  <c:v>519709</c:v>
                </c:pt>
                <c:pt idx="2">
                  <c:v>5000</c:v>
                </c:pt>
                <c:pt idx="3">
                  <c:v>37685.47</c:v>
                </c:pt>
                <c:pt idx="4">
                  <c:v>1302930.7100000002</c:v>
                </c:pt>
                <c:pt idx="5">
                  <c:v>889206.75</c:v>
                </c:pt>
                <c:pt idx="6">
                  <c:v>451409.43000000017</c:v>
                </c:pt>
              </c:numCache>
            </c:numRef>
          </c:val>
          <c:extLst>
            <c:ext xmlns:c16="http://schemas.microsoft.com/office/drawing/2014/chart" uri="{C3380CC4-5D6E-409C-BE32-E72D297353CC}">
              <c16:uniqueId val="{00000005-372E-4356-9218-77BDC25FDFBF}"/>
            </c:ext>
          </c:extLst>
        </c:ser>
        <c:dLbls>
          <c:showLegendKey val="0"/>
          <c:showVal val="0"/>
          <c:showCatName val="0"/>
          <c:showSerName val="0"/>
          <c:showPercent val="0"/>
          <c:showBubbleSize val="0"/>
        </c:dLbls>
        <c:gapWidth val="150"/>
        <c:axId val="727999464"/>
        <c:axId val="1"/>
      </c:barChart>
      <c:catAx>
        <c:axId val="727999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7999464"/>
        <c:crosses val="autoZero"/>
        <c:crossBetween val="between"/>
      </c:valAx>
      <c:dTable>
        <c:showHorzBorder val="1"/>
        <c:showVertBorder val="1"/>
        <c:showOutline val="1"/>
        <c:showKeys val="0"/>
        <c:txPr>
          <a:bodyPr/>
          <a:lstStyle/>
          <a:p>
            <a:pPr rtl="0">
              <a:defRPr sz="1000" b="0" i="0" u="none" strike="noStrike" baseline="0">
                <a:solidFill>
                  <a:srgbClr val="000000"/>
                </a:solidFill>
                <a:latin typeface="Calibri"/>
                <a:ea typeface="Calibri"/>
                <a:cs typeface="Calibri"/>
              </a:defRPr>
            </a:pPr>
            <a:endParaRPr lang="en-U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000000"/>
                </a:solidFill>
                <a:latin typeface="Calibri"/>
                <a:ea typeface="Calibri"/>
                <a:cs typeface="Calibri"/>
              </a:defRPr>
            </a:pPr>
            <a:r>
              <a:rPr lang="en-US"/>
              <a:t>2023 CDBG Estimated</a:t>
            </a:r>
            <a:r>
              <a:rPr lang="en-US" baseline="0"/>
              <a:t> </a:t>
            </a:r>
            <a:r>
              <a:rPr lang="en-US"/>
              <a:t>Available/Committed/Expensed </a:t>
            </a:r>
          </a:p>
        </c:rich>
      </c:tx>
      <c:overlay val="0"/>
    </c:title>
    <c:autoTitleDeleted val="0"/>
    <c:plotArea>
      <c:layout>
        <c:manualLayout>
          <c:layoutTarget val="inner"/>
          <c:xMode val="edge"/>
          <c:yMode val="edge"/>
          <c:x val="8.8568461439469434E-2"/>
          <c:y val="0.10739231125521075"/>
          <c:w val="0.8977485282982729"/>
          <c:h val="0.76407616694971947"/>
        </c:manualLayout>
      </c:layout>
      <c:barChart>
        <c:barDir val="col"/>
        <c:grouping val="clustered"/>
        <c:varyColors val="0"/>
        <c:ser>
          <c:idx val="0"/>
          <c:order val="0"/>
          <c:invertIfNegative val="0"/>
          <c:dPt>
            <c:idx val="1"/>
            <c:invertIfNegative val="0"/>
            <c:bubble3D val="0"/>
            <c:spPr>
              <a:solidFill>
                <a:schemeClr val="accent2">
                  <a:lumMod val="75000"/>
                </a:schemeClr>
              </a:solidFill>
            </c:spPr>
            <c:extLst>
              <c:ext xmlns:c16="http://schemas.microsoft.com/office/drawing/2014/chart" uri="{C3380CC4-5D6E-409C-BE32-E72D297353CC}">
                <c16:uniqueId val="{00000000-E865-4BE7-B86D-826FB2A28B48}"/>
              </c:ext>
            </c:extLst>
          </c:dPt>
          <c:dPt>
            <c:idx val="2"/>
            <c:invertIfNegative val="0"/>
            <c:bubble3D val="0"/>
            <c:spPr>
              <a:solidFill>
                <a:schemeClr val="accent4">
                  <a:lumMod val="75000"/>
                </a:schemeClr>
              </a:solidFill>
            </c:spPr>
            <c:extLst>
              <c:ext xmlns:c16="http://schemas.microsoft.com/office/drawing/2014/chart" uri="{C3380CC4-5D6E-409C-BE32-E72D297353CC}">
                <c16:uniqueId val="{00000001-E865-4BE7-B86D-826FB2A28B48}"/>
              </c:ext>
            </c:extLst>
          </c:dPt>
          <c:dPt>
            <c:idx val="3"/>
            <c:invertIfNegative val="0"/>
            <c:bubble3D val="0"/>
            <c:spPr>
              <a:solidFill>
                <a:schemeClr val="accent3">
                  <a:lumMod val="75000"/>
                </a:schemeClr>
              </a:solidFill>
            </c:spPr>
            <c:extLst>
              <c:ext xmlns:c16="http://schemas.microsoft.com/office/drawing/2014/chart" uri="{C3380CC4-5D6E-409C-BE32-E72D297353CC}">
                <c16:uniqueId val="{00000002-E865-4BE7-B86D-826FB2A28B48}"/>
              </c:ext>
            </c:extLst>
          </c:dPt>
          <c:dPt>
            <c:idx val="4"/>
            <c:invertIfNegative val="0"/>
            <c:bubble3D val="0"/>
            <c:spPr>
              <a:solidFill>
                <a:schemeClr val="accent6">
                  <a:lumMod val="75000"/>
                </a:schemeClr>
              </a:solidFill>
            </c:spPr>
            <c:extLst>
              <c:ext xmlns:c16="http://schemas.microsoft.com/office/drawing/2014/chart" uri="{C3380CC4-5D6E-409C-BE32-E72D297353CC}">
                <c16:uniqueId val="{00000003-E865-4BE7-B86D-826FB2A28B48}"/>
              </c:ext>
            </c:extLst>
          </c:dPt>
          <c:dPt>
            <c:idx val="5"/>
            <c:invertIfNegative val="0"/>
            <c:bubble3D val="0"/>
            <c:spPr>
              <a:solidFill>
                <a:schemeClr val="accent5">
                  <a:lumMod val="75000"/>
                </a:schemeClr>
              </a:solidFill>
            </c:spPr>
            <c:extLst>
              <c:ext xmlns:c16="http://schemas.microsoft.com/office/drawing/2014/chart" uri="{C3380CC4-5D6E-409C-BE32-E72D297353CC}">
                <c16:uniqueId val="{00000004-E865-4BE7-B86D-826FB2A28B48}"/>
              </c:ext>
            </c:extLst>
          </c:dPt>
          <c:cat>
            <c:strRef>
              <c:f>CDBG!$A$89:$A$94</c:f>
              <c:strCache>
                <c:ptCount val="6"/>
                <c:pt idx="0">
                  <c:v>2022 Unexpended Funds</c:v>
                </c:pt>
                <c:pt idx="1">
                  <c:v>2023 CDBG Grant</c:v>
                </c:pt>
                <c:pt idx="2">
                  <c:v>Estimated Program Income</c:v>
                </c:pt>
                <c:pt idx="3">
                  <c:v>Funds to Re-Purpose</c:v>
                </c:pt>
                <c:pt idx="4">
                  <c:v>2023 Budget</c:v>
                </c:pt>
                <c:pt idx="5">
                  <c:v>Estimated Expenditures</c:v>
                </c:pt>
              </c:strCache>
            </c:strRef>
          </c:cat>
          <c:val>
            <c:numRef>
              <c:f>CDBG!$B$89:$B$94</c:f>
              <c:numCache>
                <c:formatCode>#,##0</c:formatCode>
                <c:ptCount val="6"/>
                <c:pt idx="0">
                  <c:v>451409.43000000017</c:v>
                </c:pt>
                <c:pt idx="1">
                  <c:v>519709</c:v>
                </c:pt>
                <c:pt idx="2">
                  <c:v>5000</c:v>
                </c:pt>
                <c:pt idx="3">
                  <c:v>37685.47</c:v>
                </c:pt>
                <c:pt idx="4">
                  <c:v>1013803.9000000001</c:v>
                </c:pt>
                <c:pt idx="5">
                  <c:v>0</c:v>
                </c:pt>
              </c:numCache>
            </c:numRef>
          </c:val>
          <c:extLst>
            <c:ext xmlns:c16="http://schemas.microsoft.com/office/drawing/2014/chart" uri="{C3380CC4-5D6E-409C-BE32-E72D297353CC}">
              <c16:uniqueId val="{00000005-E865-4BE7-B86D-826FB2A28B48}"/>
            </c:ext>
          </c:extLst>
        </c:ser>
        <c:dLbls>
          <c:showLegendKey val="0"/>
          <c:showVal val="0"/>
          <c:showCatName val="0"/>
          <c:showSerName val="0"/>
          <c:showPercent val="0"/>
          <c:showBubbleSize val="0"/>
        </c:dLbls>
        <c:gapWidth val="150"/>
        <c:axId val="684157680"/>
        <c:axId val="1"/>
      </c:barChart>
      <c:catAx>
        <c:axId val="68415768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4157680"/>
        <c:crosses val="autoZero"/>
        <c:crossBetween val="between"/>
      </c:valAx>
      <c:dTable>
        <c:showHorzBorder val="1"/>
        <c:showVertBorder val="1"/>
        <c:showOutline val="1"/>
        <c:showKeys val="0"/>
        <c:txPr>
          <a:bodyPr/>
          <a:lstStyle/>
          <a:p>
            <a:pPr rtl="0">
              <a:defRPr sz="1000" b="0" i="0" u="none" strike="noStrike" baseline="0">
                <a:solidFill>
                  <a:srgbClr val="000000"/>
                </a:solidFill>
                <a:latin typeface="Calibri"/>
                <a:ea typeface="Calibri"/>
                <a:cs typeface="Calibri"/>
              </a:defRPr>
            </a:pPr>
            <a:endParaRPr lang="en-US"/>
          </a:p>
        </c:txPr>
      </c:dTable>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Report 2022 (Recovered) In Progress.xlsx]CDBG-Budget-Total!PivotTable2</c:name>
    <c:fmtId val="1"/>
  </c:pivotSource>
  <c:chart>
    <c:title>
      <c:tx>
        <c:rich>
          <a:bodyPr/>
          <a:lstStyle/>
          <a:p>
            <a:pPr>
              <a:defRPr sz="2400" b="1" i="0" u="none" strike="noStrike" baseline="0">
                <a:solidFill>
                  <a:srgbClr val="000000"/>
                </a:solidFill>
                <a:latin typeface="Calibri"/>
                <a:ea typeface="Calibri"/>
                <a:cs typeface="Calibri"/>
              </a:defRPr>
            </a:pPr>
            <a:r>
              <a:rPr lang="en-US"/>
              <a:t>CDBG Funds Budgeted as a % of Total Budget - 2022</a:t>
            </a:r>
          </a:p>
        </c:rich>
      </c:tx>
      <c:overlay val="0"/>
      <c:spPr>
        <a:noFill/>
        <a:ln w="25400">
          <a:noFill/>
        </a:ln>
      </c:spPr>
    </c:title>
    <c:autoTitleDeleted val="0"/>
    <c:pivotFmts>
      <c:pivotFmt>
        <c:idx val="0"/>
        <c:marker>
          <c:symbol val="none"/>
        </c:marker>
        <c:dLbl>
          <c:idx val="0"/>
          <c:spPr>
            <a:noFill/>
            <a:ln w="25400">
              <a:noFill/>
            </a:ln>
          </c:spPr>
          <c:txPr>
            <a:bodyPr wrap="square" lIns="38100" tIns="19050" rIns="38100" bIns="19050" anchor="ctr">
              <a:spAutoFit/>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bg1">
              <a:lumMod val="75000"/>
            </a:schemeClr>
          </a:solidFill>
          <a:ln>
            <a:noFill/>
          </a:ln>
          <a:effectLst/>
        </c:spPr>
        <c:dLbl>
          <c:idx val="0"/>
          <c:tx>
            <c:rich>
              <a:bodyPr/>
              <a:lstStyle/>
              <a:p>
                <a:pPr>
                  <a:defRPr sz="1600" b="1" i="0" u="none" strike="noStrike" baseline="0">
                    <a:solidFill>
                      <a:srgbClr val="000000"/>
                    </a:solidFill>
                    <a:latin typeface="Calibri"/>
                    <a:ea typeface="Calibri"/>
                    <a:cs typeface="Calibri"/>
                  </a:defRPr>
                </a:pPr>
                <a:r>
                  <a:rPr lang="en-US"/>
                  <a:t>Unallocated</a:t>
                </a:r>
                <a:r>
                  <a:rPr lang="en-US" baseline="0"/>
                  <a:t> Funds</a:t>
                </a:r>
              </a:p>
              <a:p>
                <a:pPr>
                  <a:defRPr sz="1600" b="1" i="0" u="none" strike="noStrike" baseline="0">
                    <a:solidFill>
                      <a:srgbClr val="000000"/>
                    </a:solidFill>
                    <a:latin typeface="Calibri"/>
                    <a:ea typeface="Calibri"/>
                    <a:cs typeface="Calibri"/>
                  </a:defRPr>
                </a:pPr>
                <a:r>
                  <a:rPr lang="en-US" baseline="0"/>
                  <a: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Lst>
        </c:dLbl>
      </c:pivotFmt>
      <c:pivotFmt>
        <c:idx val="2"/>
        <c:spPr>
          <a:solidFill>
            <a:schemeClr val="accent5">
              <a:lumMod val="50000"/>
            </a:schemeClr>
          </a:solidFill>
        </c:spPr>
        <c:dLbl>
          <c:idx val="0"/>
          <c:spPr>
            <a:noFill/>
            <a:ln w="25400">
              <a:noFill/>
            </a:ln>
          </c:spPr>
          <c:txPr>
            <a:bodyPr/>
            <a:lstStyle/>
            <a:p>
              <a:pPr>
                <a:defRPr sz="1600" b="1" i="0" u="none" strike="noStrike" baseline="0">
                  <a:solidFill>
                    <a:srgbClr val="FFFFFF"/>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3"/>
        <c:dLbl>
          <c:idx val="0"/>
          <c:spPr>
            <a:noFill/>
            <a:ln w="25400">
              <a:noFill/>
            </a:ln>
          </c:spPr>
          <c:txPr>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4"/>
        <c:marker>
          <c:symbol val="none"/>
        </c:marker>
        <c:dLbl>
          <c:idx val="0"/>
          <c:delete val="1"/>
          <c:extLst>
            <c:ext xmlns:c15="http://schemas.microsoft.com/office/drawing/2012/chart" uri="{CE6537A1-D6FC-4f65-9D91-7224C49458BB}"/>
          </c:extLst>
        </c:dLbl>
      </c:pivotFmt>
      <c:pivotFmt>
        <c:idx val="5"/>
      </c:pivotFmt>
      <c:pivotFmt>
        <c:idx val="6"/>
      </c:pivotFmt>
      <c:pivotFmt>
        <c:idx val="7"/>
      </c:pivotFmt>
    </c:pivotFmts>
    <c:plotArea>
      <c:layout/>
      <c:pieChart>
        <c:varyColors val="1"/>
        <c:ser>
          <c:idx val="0"/>
          <c:order val="0"/>
          <c:tx>
            <c:strRef>
              <c:f>'CDBG-Budget-Total'!$B$1:$B$2</c:f>
              <c:strCache>
                <c:ptCount val="1"/>
                <c:pt idx="0">
                  <c:v>Sum of Category Budget as % of Total Budget</c:v>
                </c:pt>
              </c:strCache>
            </c:strRef>
          </c:tx>
          <c:dPt>
            <c:idx val="0"/>
            <c:bubble3D val="0"/>
            <c:spPr>
              <a:solidFill>
                <a:schemeClr val="bg1">
                  <a:lumMod val="75000"/>
                </a:schemeClr>
              </a:solidFill>
              <a:ln>
                <a:noFill/>
              </a:ln>
              <a:effectLst/>
            </c:spPr>
            <c:extLst>
              <c:ext xmlns:c16="http://schemas.microsoft.com/office/drawing/2014/chart" uri="{C3380CC4-5D6E-409C-BE32-E72D297353CC}">
                <c16:uniqueId val="{00000000-15C5-4126-8603-86168DAD95EE}"/>
              </c:ext>
            </c:extLst>
          </c:dPt>
          <c:dPt>
            <c:idx val="1"/>
            <c:bubble3D val="0"/>
            <c:spPr>
              <a:solidFill>
                <a:schemeClr val="accent5">
                  <a:lumMod val="50000"/>
                </a:schemeClr>
              </a:solidFill>
            </c:spPr>
            <c:extLst>
              <c:ext xmlns:c16="http://schemas.microsoft.com/office/drawing/2014/chart" uri="{C3380CC4-5D6E-409C-BE32-E72D297353CC}">
                <c16:uniqueId val="{00000001-15C5-4126-8603-86168DAD95EE}"/>
              </c:ext>
            </c:extLst>
          </c:dPt>
          <c:dPt>
            <c:idx val="2"/>
            <c:bubble3D val="0"/>
            <c:extLst>
              <c:ext xmlns:c16="http://schemas.microsoft.com/office/drawing/2014/chart" uri="{C3380CC4-5D6E-409C-BE32-E72D297353CC}">
                <c16:uniqueId val="{00000002-15C5-4126-8603-86168DAD95EE}"/>
              </c:ext>
            </c:extLst>
          </c:dPt>
          <c:dLbls>
            <c:dLbl>
              <c:idx val="0"/>
              <c:tx>
                <c:rich>
                  <a:bodyPr/>
                  <a:lstStyle/>
                  <a:p>
                    <a:pPr>
                      <a:defRPr sz="1600" b="1" i="0" u="none" strike="noStrike" baseline="0">
                        <a:solidFill>
                          <a:srgbClr val="000000"/>
                        </a:solidFill>
                        <a:latin typeface="Calibri"/>
                        <a:ea typeface="Calibri"/>
                        <a:cs typeface="Calibri"/>
                      </a:defRPr>
                    </a:pPr>
                    <a:r>
                      <a:rPr lang="en-US"/>
                      <a:t>Unallocated</a:t>
                    </a:r>
                    <a:r>
                      <a:rPr lang="en-US" baseline="0"/>
                      <a:t> Funds</a:t>
                    </a:r>
                  </a:p>
                  <a:p>
                    <a:pPr>
                      <a:defRPr sz="1600" b="1" i="0" u="none" strike="noStrike" baseline="0">
                        <a:solidFill>
                          <a:srgbClr val="000000"/>
                        </a:solidFill>
                        <a:latin typeface="Calibri"/>
                        <a:ea typeface="Calibri"/>
                        <a:cs typeface="Calibri"/>
                      </a:defRPr>
                    </a:pPr>
                    <a:r>
                      <a:rPr lang="en-US" baseline="0"/>
                      <a: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5C5-4126-8603-86168DAD95EE}"/>
                </c:ext>
              </c:extLst>
            </c:dLbl>
            <c:dLbl>
              <c:idx val="1"/>
              <c:spPr>
                <a:noFill/>
                <a:ln w="25400">
                  <a:noFill/>
                </a:ln>
              </c:spPr>
              <c:txPr>
                <a:bodyPr/>
                <a:lstStyle/>
                <a:p>
                  <a:pPr>
                    <a:defRPr sz="1600" b="1" i="0" u="none" strike="noStrike" baseline="0">
                      <a:solidFill>
                        <a:srgbClr val="FFFFFF"/>
                      </a:solidFill>
                      <a:latin typeface="Calibri"/>
                      <a:ea typeface="Calibri"/>
                      <a:cs typeface="Calibri"/>
                    </a:defRPr>
                  </a:pPr>
                  <a:endParaRPr lang="en-US"/>
                </a:p>
              </c:txPr>
              <c:dLblPos val="bestFit"/>
              <c:showLegendKey val="0"/>
              <c:showVal val="1"/>
              <c:showCatName val="1"/>
              <c:showSerName val="0"/>
              <c:showPercent val="0"/>
              <c:showBubbleSize val="0"/>
              <c:extLst>
                <c:ext xmlns:c16="http://schemas.microsoft.com/office/drawing/2014/chart" uri="{C3380CC4-5D6E-409C-BE32-E72D297353CC}">
                  <c16:uniqueId val="{00000001-15C5-4126-8603-86168DAD95EE}"/>
                </c:ext>
              </c:extLst>
            </c:dLbl>
            <c:dLbl>
              <c:idx val="2"/>
              <c:spPr>
                <a:noFill/>
                <a:ln w="25400">
                  <a:noFill/>
                </a:ln>
              </c:spPr>
              <c:txPr>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6="http://schemas.microsoft.com/office/drawing/2014/chart" uri="{C3380CC4-5D6E-409C-BE32-E72D297353CC}">
                  <c16:uniqueId val="{00000002-15C5-4126-8603-86168DAD95EE}"/>
                </c:ext>
              </c:extLst>
            </c:dLbl>
            <c:spPr>
              <a:noFill/>
              <a:ln w="25400">
                <a:noFill/>
              </a:ln>
            </c:spPr>
            <c:txPr>
              <a:bodyPr wrap="square" lIns="38100" tIns="19050" rIns="38100" bIns="19050" anchor="ctr">
                <a:spAutoFit/>
              </a:bodyPr>
              <a:lstStyle/>
              <a:p>
                <a:pPr>
                  <a:defRPr sz="16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'CDBG-Budget-Total'!$A$3:$A$6</c:f>
              <c:strCache>
                <c:ptCount val="3"/>
                <c:pt idx="0">
                  <c:v>CDBG Funds Not Allocated </c:v>
                </c:pt>
                <c:pt idx="1">
                  <c:v>Housing</c:v>
                </c:pt>
                <c:pt idx="2">
                  <c:v>Program Admin\Planning</c:v>
                </c:pt>
              </c:strCache>
            </c:strRef>
          </c:cat>
          <c:val>
            <c:numRef>
              <c:f>'CDBG-Budget-Total'!$B$3:$B$6</c:f>
              <c:numCache>
                <c:formatCode>0%</c:formatCode>
                <c:ptCount val="3"/>
                <c:pt idx="0">
                  <c:v>7.002839545021752E-3</c:v>
                </c:pt>
                <c:pt idx="1">
                  <c:v>0.91183970344144283</c:v>
                </c:pt>
                <c:pt idx="2">
                  <c:v>8.115745701353537E-2</c:v>
                </c:pt>
              </c:numCache>
            </c:numRef>
          </c:val>
          <c:extLst>
            <c:ext xmlns:c16="http://schemas.microsoft.com/office/drawing/2014/chart" uri="{C3380CC4-5D6E-409C-BE32-E72D297353CC}">
              <c16:uniqueId val="{00000004-15C5-4126-8603-86168DAD95EE}"/>
            </c:ext>
          </c:extLst>
        </c:ser>
        <c:ser>
          <c:idx val="1"/>
          <c:order val="1"/>
          <c:tx>
            <c:strRef>
              <c:f>'CDBG-Budget-Total'!$C$1:$C$2</c:f>
              <c:strCache>
                <c:ptCount val="1"/>
                <c:pt idx="0">
                  <c:v>Sum of Budget</c:v>
                </c:pt>
              </c:strCache>
            </c:strRef>
          </c:tx>
          <c:dPt>
            <c:idx val="0"/>
            <c:bubble3D val="0"/>
            <c:extLst>
              <c:ext xmlns:c16="http://schemas.microsoft.com/office/drawing/2014/chart" uri="{C3380CC4-5D6E-409C-BE32-E72D297353CC}">
                <c16:uniqueId val="{00000005-15C5-4126-8603-86168DAD95EE}"/>
              </c:ext>
            </c:extLst>
          </c:dPt>
          <c:dPt>
            <c:idx val="1"/>
            <c:bubble3D val="0"/>
            <c:extLst>
              <c:ext xmlns:c16="http://schemas.microsoft.com/office/drawing/2014/chart" uri="{C3380CC4-5D6E-409C-BE32-E72D297353CC}">
                <c16:uniqueId val="{00000006-15C5-4126-8603-86168DAD95EE}"/>
              </c:ext>
            </c:extLst>
          </c:dPt>
          <c:dPt>
            <c:idx val="2"/>
            <c:bubble3D val="0"/>
            <c:extLst>
              <c:ext xmlns:c16="http://schemas.microsoft.com/office/drawing/2014/chart" uri="{C3380CC4-5D6E-409C-BE32-E72D297353CC}">
                <c16:uniqueId val="{00000007-15C5-4126-8603-86168DAD95EE}"/>
              </c:ext>
            </c:extLst>
          </c:dPt>
          <c:cat>
            <c:strRef>
              <c:f>'CDBG-Budget-Total'!$A$3:$A$6</c:f>
              <c:strCache>
                <c:ptCount val="3"/>
                <c:pt idx="0">
                  <c:v>CDBG Funds Not Allocated </c:v>
                </c:pt>
                <c:pt idx="1">
                  <c:v>Housing</c:v>
                </c:pt>
                <c:pt idx="2">
                  <c:v>Program Admin\Planning</c:v>
                </c:pt>
              </c:strCache>
            </c:strRef>
          </c:cat>
          <c:val>
            <c:numRef>
              <c:f>'CDBG-Budget-Total'!$C$3:$C$6</c:f>
              <c:numCache>
                <c:formatCode>#,##0.00_);\(#,##0.00\)</c:formatCode>
                <c:ptCount val="3"/>
                <c:pt idx="0">
                  <c:v>9388.1200000000008</c:v>
                </c:pt>
                <c:pt idx="1">
                  <c:v>1222427.06</c:v>
                </c:pt>
                <c:pt idx="2">
                  <c:v>108801</c:v>
                </c:pt>
              </c:numCache>
            </c:numRef>
          </c:val>
          <c:extLst>
            <c:ext xmlns:c16="http://schemas.microsoft.com/office/drawing/2014/chart" uri="{C3380CC4-5D6E-409C-BE32-E72D297353CC}">
              <c16:uniqueId val="{00000009-15C5-4126-8603-86168DAD95E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Data val="1"/>
        <c14:dropZoneSeries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Low/Moderate</a:t>
            </a:r>
            <a:r>
              <a:rPr lang="en-US" baseline="0"/>
              <a:t> Income Beneficiaries Served in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506719999731774E-2"/>
          <c:y val="0.16783001544843876"/>
          <c:w val="0.61277227440599624"/>
          <c:h val="0.7487778628200147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9F-49B3-8957-41276CE4098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BD9F-49B3-8957-41276CE4098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BD9F-49B3-8957-41276CE409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2-BD9F-49B3-8957-41276CE4098D}"/>
              </c:ext>
            </c:extLst>
          </c:dPt>
          <c:dLbls>
            <c:dLbl>
              <c:idx val="0"/>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D9F-49B3-8957-41276CE4098D}"/>
                </c:ext>
              </c:extLst>
            </c:dLbl>
            <c:dLbl>
              <c:idx val="1"/>
              <c:tx>
                <c:rich>
                  <a:bodyPr/>
                  <a:lstStyle/>
                  <a:p>
                    <a:fld id="{15AD4D0A-8223-454C-9CE7-B622F301E040}" type="CELLRANGE">
                      <a:rPr lang="en-US" baseline="0"/>
                      <a:pPr/>
                      <a:t>[CELLRANGE]</a:t>
                    </a:fld>
                    <a:r>
                      <a:rPr lang="en-US" baseline="0"/>
                      <a:t>, </a:t>
                    </a:r>
                    <a:fld id="{77AE7ABC-B68E-4285-8521-EAB34E060AC0}" type="PERCENTAGE">
                      <a:rPr lang="en-US" baseline="0"/>
                      <a:pPr/>
                      <a:t>[PERCENTAGE]</a:t>
                    </a:fld>
                    <a:endParaRPr lang="en-US" baseline="0"/>
                  </a:p>
                </c:rich>
              </c:tx>
              <c:showLegendKey val="0"/>
              <c:showVal val="0"/>
              <c:showCatName val="0"/>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D9F-49B3-8957-41276CE4098D}"/>
                </c:ext>
              </c:extLst>
            </c:dLbl>
            <c:dLbl>
              <c:idx val="2"/>
              <c:tx>
                <c:rich>
                  <a:bodyPr/>
                  <a:lstStyle/>
                  <a:p>
                    <a:fld id="{8B35CD69-60C5-4615-8BDB-31CD4613485B}" type="CELLRANGE">
                      <a:rPr lang="en-US" baseline="0"/>
                      <a:pPr/>
                      <a:t>[CELLRANGE]</a:t>
                    </a:fld>
                    <a:r>
                      <a:rPr lang="en-US" baseline="0"/>
                      <a:t>, </a:t>
                    </a:r>
                    <a:fld id="{6122521B-3216-43D0-8AFF-35CCF1A71A79}" type="PERCENTAGE">
                      <a:rPr lang="en-US" baseline="0"/>
                      <a:pPr/>
                      <a:t>[PERCENTAGE]</a:t>
                    </a:fld>
                    <a:endParaRPr lang="en-US" baseline="0"/>
                  </a:p>
                </c:rich>
              </c:tx>
              <c:showLegendKey val="0"/>
              <c:showVal val="0"/>
              <c:showCatName val="0"/>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D9F-49B3-8957-41276CE4098D}"/>
                </c:ext>
              </c:extLst>
            </c:dLbl>
            <c:dLbl>
              <c:idx val="3"/>
              <c:tx>
                <c:rich>
                  <a:bodyPr/>
                  <a:lstStyle/>
                  <a:p>
                    <a:fld id="{B9F8D0BF-1AED-40C5-AC7F-3E3A5781C3BB}" type="CELLRANGE">
                      <a:rPr lang="en-US" baseline="0"/>
                      <a:pPr/>
                      <a:t>[CELLRANGE]</a:t>
                    </a:fld>
                    <a:r>
                      <a:rPr lang="en-US" baseline="0"/>
                      <a:t>, </a:t>
                    </a:r>
                    <a:fld id="{CCB2C6AF-40D0-49D8-A380-B1BC6F7B6A21}" type="PERCENTAGE">
                      <a:rPr lang="en-US" baseline="0"/>
                      <a:pPr/>
                      <a:t>[PERCENTAGE]</a:t>
                    </a:fld>
                    <a:endParaRPr lang="en-US" baseline="0"/>
                  </a:p>
                </c:rich>
              </c:tx>
              <c:showLegendKey val="0"/>
              <c:showVal val="0"/>
              <c:showCatName val="0"/>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D9F-49B3-8957-41276CE4098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'LMI Benefit Combined'!$A$2:$D$2</c:f>
              <c:strCache>
                <c:ptCount val="4"/>
                <c:pt idx="0">
                  <c:v>Extremely Low Income
(&lt; 30% AMI)</c:v>
                </c:pt>
                <c:pt idx="1">
                  <c:v>Low Income
(31% - 50% AMI)</c:v>
                </c:pt>
                <c:pt idx="2">
                  <c:v>Moderate Income
(51% - 80% AMI)</c:v>
                </c:pt>
                <c:pt idx="3">
                  <c:v>Non Low Moderate Income (Above 80%)</c:v>
                </c:pt>
              </c:strCache>
            </c:strRef>
          </c:cat>
          <c:val>
            <c:numRef>
              <c:f>'LMI Benefit Combined'!$A$3:$D$3</c:f>
              <c:numCache>
                <c:formatCode>General</c:formatCode>
                <c:ptCount val="4"/>
                <c:pt idx="0">
                  <c:v>242</c:v>
                </c:pt>
                <c:pt idx="1">
                  <c:v>115</c:v>
                </c:pt>
                <c:pt idx="2">
                  <c:v>79</c:v>
                </c:pt>
                <c:pt idx="3">
                  <c:v>23</c:v>
                </c:pt>
              </c:numCache>
            </c:numRef>
          </c:val>
          <c:extLst>
            <c:ext xmlns:c15="http://schemas.microsoft.com/office/drawing/2012/chart" uri="{02D57815-91ED-43cb-92C2-25804820EDAC}">
              <c15:datalabelsRange>
                <c15:f>'LMI Benefit Combined'!$A$3:$D$3</c15:f>
                <c15:dlblRangeCache>
                  <c:ptCount val="4"/>
                  <c:pt idx="0">
                    <c:v>242</c:v>
                  </c:pt>
                  <c:pt idx="1">
                    <c:v>115</c:v>
                  </c:pt>
                  <c:pt idx="2">
                    <c:v>79</c:v>
                  </c:pt>
                  <c:pt idx="3">
                    <c:v>23</c:v>
                  </c:pt>
                </c15:dlblRangeCache>
              </c15:datalabelsRange>
            </c:ext>
            <c:ext xmlns:c16="http://schemas.microsoft.com/office/drawing/2014/chart" uri="{C3380CC4-5D6E-409C-BE32-E72D297353CC}">
              <c16:uniqueId val="{00000000-BD9F-49B3-8957-41276CE4098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1553558825353769"/>
          <c:y val="0.2315798557275093"/>
          <c:w val="0.23712579819380619"/>
          <c:h val="0.595758170605766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t>CDBG</a:t>
            </a:r>
            <a:r>
              <a:rPr lang="en-US" sz="2000" b="1" baseline="0"/>
              <a:t> and CDBG- CV                              </a:t>
            </a:r>
            <a:r>
              <a:rPr lang="en-US" sz="2000" b="1"/>
              <a:t>Beneficiary</a:t>
            </a:r>
            <a:r>
              <a:rPr lang="en-US" sz="2000" b="1" baseline="0"/>
              <a:t> Demographic Data</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317-438A-BFC2-F076441E626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317-438A-BFC2-F076441E626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317-438A-BFC2-F076441E626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317-438A-BFC2-F076441E626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317-438A-BFC2-F076441E626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317-438A-BFC2-F076441E6268}"/>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'Beneficiary Data Combined'!$A$1:$F$1</c:f>
              <c:strCache>
                <c:ptCount val="6"/>
                <c:pt idx="0">
                  <c:v>White Persons</c:v>
                </c:pt>
                <c:pt idx="1">
                  <c:v>Latino/ Hispanic</c:v>
                </c:pt>
                <c:pt idx="2">
                  <c:v>Other Races than White</c:v>
                </c:pt>
                <c:pt idx="3">
                  <c:v>Elderly</c:v>
                </c:pt>
                <c:pt idx="4">
                  <c:v>Disabled</c:v>
                </c:pt>
                <c:pt idx="5">
                  <c:v>Female Head of Household</c:v>
                </c:pt>
              </c:strCache>
            </c:strRef>
          </c:cat>
          <c:val>
            <c:numRef>
              <c:f>'Beneficiary Data Combined'!$A$2:$F$2</c:f>
              <c:numCache>
                <c:formatCode>General</c:formatCode>
                <c:ptCount val="6"/>
                <c:pt idx="0">
                  <c:v>396</c:v>
                </c:pt>
                <c:pt idx="1">
                  <c:v>181</c:v>
                </c:pt>
                <c:pt idx="2">
                  <c:v>63</c:v>
                </c:pt>
                <c:pt idx="3">
                  <c:v>55</c:v>
                </c:pt>
                <c:pt idx="4">
                  <c:v>59</c:v>
                </c:pt>
                <c:pt idx="5">
                  <c:v>217</c:v>
                </c:pt>
              </c:numCache>
            </c:numRef>
          </c:val>
          <c:extLst>
            <c:ext xmlns:c16="http://schemas.microsoft.com/office/drawing/2014/chart" uri="{C3380CC4-5D6E-409C-BE32-E72D297353CC}">
              <c16:uniqueId val="{00000000-DB68-4ABA-9CF2-0B52FA136030}"/>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0.82171717171717173"/>
          <c:y val="0.61507162448971553"/>
          <c:w val="0.16464646464646465"/>
          <c:h val="0.352408050307032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85725</xdr:rowOff>
    </xdr:from>
    <xdr:to>
      <xdr:col>10</xdr:col>
      <xdr:colOff>390525</xdr:colOff>
      <xdr:row>23</xdr:row>
      <xdr:rowOff>171450</xdr:rowOff>
    </xdr:to>
    <xdr:graphicFrame macro="">
      <xdr:nvGraphicFramePr>
        <xdr:cNvPr id="2268108" name="Chart 2" descr="Chart shows 2022 CDBG Available\Committed\Expensed. 2021 Unexpended Funds are 815,907. 2022 CDBG Grant is 519,709. Program Income is 5,000. Funds to Re-Purpose are 37,685. 2022 Budget is 1,302,931. Expenditures are 889,207. 2022 unexpended Funds are 451,409.">
          <a:extLst>
            <a:ext uri="{FF2B5EF4-FFF2-40B4-BE49-F238E27FC236}">
              <a16:creationId xmlns:a16="http://schemas.microsoft.com/office/drawing/2014/main" id="{00000000-0008-0000-0400-0000CC9B2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24</xdr:row>
      <xdr:rowOff>152400</xdr:rowOff>
    </xdr:from>
    <xdr:to>
      <xdr:col>10</xdr:col>
      <xdr:colOff>314325</xdr:colOff>
      <xdr:row>48</xdr:row>
      <xdr:rowOff>28575</xdr:rowOff>
    </xdr:to>
    <xdr:graphicFrame macro="">
      <xdr:nvGraphicFramePr>
        <xdr:cNvPr id="2268109" name="Chart 1" descr="Chart showing CDBG Expenditures - 2022. Housing is $780,406. Program Admin\Planning is $108,801.">
          <a:extLst>
            <a:ext uri="{FF2B5EF4-FFF2-40B4-BE49-F238E27FC236}">
              <a16:creationId xmlns:a16="http://schemas.microsoft.com/office/drawing/2014/main" id="{00000000-0008-0000-0400-0000CD9B2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457200</xdr:colOff>
      <xdr:row>0</xdr:row>
      <xdr:rowOff>66675</xdr:rowOff>
    </xdr:from>
    <xdr:to>
      <xdr:col>22</xdr:col>
      <xdr:colOff>152400</xdr:colOff>
      <xdr:row>44</xdr:row>
      <xdr:rowOff>171450</xdr:rowOff>
    </xdr:to>
    <xdr:graphicFrame macro="">
      <xdr:nvGraphicFramePr>
        <xdr:cNvPr id="2268110" name="CDBG Funds Budgeted as a % of Total Budget - 2014" descr="Chart showing CDBG Funds Budgeted as % of Total Budget - 2022. Housing is 91%. Program Admin\Planning is 8%. CDBG Funds Not Allocated are 1%.">
          <a:extLst>
            <a:ext uri="{FF2B5EF4-FFF2-40B4-BE49-F238E27FC236}">
              <a16:creationId xmlns:a16="http://schemas.microsoft.com/office/drawing/2014/main" id="{00000000-0008-0000-0400-0000CE9B2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352424</xdr:colOff>
      <xdr:row>52</xdr:row>
      <xdr:rowOff>33336</xdr:rowOff>
    </xdr:from>
    <xdr:to>
      <xdr:col>15</xdr:col>
      <xdr:colOff>152399</xdr:colOff>
      <xdr:row>69</xdr:row>
      <xdr:rowOff>123825</xdr:rowOff>
    </xdr:to>
    <xdr:graphicFrame macro="">
      <xdr:nvGraphicFramePr>
        <xdr:cNvPr id="2" name="Chart 1" descr="Chart of Summary of Unspent Funds by Project - End of 2022. Each project/program is followed by its budget amount and then it's 2022 Expenditures. Rehab project delivery $41,410, $16,502. General Housing Rehab $425,139, $141,232. HSBC - Housing Counseling $50,000, $50,000. LHA - Playground $25,800, $0. LHA Parking Lot ADA $36,805, $0. LHA Security Cameras $61,600, $0. E for All $30,206, $30,206. Imagine Rehab $49,999, $49, 999. Crismann II Land Acquisition $350,000, $350,000. Fresh Start Utility Assistance $89,551, $89,551.">
          <a:extLst>
            <a:ext uri="{FF2B5EF4-FFF2-40B4-BE49-F238E27FC236}">
              <a16:creationId xmlns:a16="http://schemas.microsoft.com/office/drawing/2014/main" id="{5F22FDC8-9B6B-38BF-2135-2AA768959F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1</xdr:row>
      <xdr:rowOff>171450</xdr:rowOff>
    </xdr:from>
    <xdr:to>
      <xdr:col>13</xdr:col>
      <xdr:colOff>409575</xdr:colOff>
      <xdr:row>27</xdr:row>
      <xdr:rowOff>76200</xdr:rowOff>
    </xdr:to>
    <xdr:graphicFrame macro="">
      <xdr:nvGraphicFramePr>
        <xdr:cNvPr id="4200558" name="Chart 2" descr="Chart shows 2022 CDBG Available\Committed\Expensed. 2021 Unexpended Funds are 815,907. 2022 CDBG Grant is 519,709. Program Income is 5,000. Funds to Re-Purpose are 37,685. 2022 Budget is 1,302,931. Expenditures are 889,207. 2022 unexpended Funds are 451,409.">
          <a:extLst>
            <a:ext uri="{FF2B5EF4-FFF2-40B4-BE49-F238E27FC236}">
              <a16:creationId xmlns:a16="http://schemas.microsoft.com/office/drawing/2014/main" id="{00000000-0008-0000-0500-00006E1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304800</xdr:colOff>
      <xdr:row>1</xdr:row>
      <xdr:rowOff>171450</xdr:rowOff>
    </xdr:from>
    <xdr:to>
      <xdr:col>27</xdr:col>
      <xdr:colOff>123825</xdr:colOff>
      <xdr:row>27</xdr:row>
      <xdr:rowOff>76200</xdr:rowOff>
    </xdr:to>
    <xdr:graphicFrame macro="">
      <xdr:nvGraphicFramePr>
        <xdr:cNvPr id="4200559" name="Chart 2" descr="Chart of 2023 CDBG Estimated Available/Committed/Expensed. 2022 Unexpended Funds are 451,409. 2023 CDBG Grant is 519,709. Estimated Program Income is $5,000. Funds to Re-Purpose are 37,685. 2023 Budget is 1,013,804.">
          <a:extLst>
            <a:ext uri="{FF2B5EF4-FFF2-40B4-BE49-F238E27FC236}">
              <a16:creationId xmlns:a16="http://schemas.microsoft.com/office/drawing/2014/main" id="{00000000-0008-0000-0500-00006F184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xdr:colOff>
      <xdr:row>0</xdr:row>
      <xdr:rowOff>0</xdr:rowOff>
    </xdr:from>
    <xdr:to>
      <xdr:col>13</xdr:col>
      <xdr:colOff>121920</xdr:colOff>
      <xdr:row>45</xdr:row>
      <xdr:rowOff>95250</xdr:rowOff>
    </xdr:to>
    <xdr:graphicFrame macro="">
      <xdr:nvGraphicFramePr>
        <xdr:cNvPr id="2380074" name="CDBG Funds Budgeted as a % of Total Budget - 2014" descr="Chart showing CDBG Funds Budgeted as % of Total Budget - 2022. Housing is 91%. Program Admin\Planning is 8%.Unallocated funds are 5%.">
          <a:extLst>
            <a:ext uri="{FF2B5EF4-FFF2-40B4-BE49-F238E27FC236}">
              <a16:creationId xmlns:a16="http://schemas.microsoft.com/office/drawing/2014/main" id="{00000000-0008-0000-0600-00002A51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xdr:colOff>
      <xdr:row>1</xdr:row>
      <xdr:rowOff>66675</xdr:rowOff>
    </xdr:from>
    <xdr:to>
      <xdr:col>15</xdr:col>
      <xdr:colOff>28575</xdr:colOff>
      <xdr:row>19</xdr:row>
      <xdr:rowOff>133350</xdr:rowOff>
    </xdr:to>
    <xdr:graphicFrame macro="">
      <xdr:nvGraphicFramePr>
        <xdr:cNvPr id="2" name="Chart 1" descr="Chart of Low/Moderate Income Beneficiaries Served in 2022, showing 242 (53%) extremely low income (&lt;30% AMI), 115 (25%) low income (31%-50% AMI), 79 (17%) moderate income (51%-80% AMI) and 23 (5%) non low moderate income (above 80% AMI).">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485775</xdr:colOff>
      <xdr:row>0</xdr:row>
      <xdr:rowOff>371475</xdr:rowOff>
    </xdr:from>
    <xdr:to>
      <xdr:col>17</xdr:col>
      <xdr:colOff>66675</xdr:colOff>
      <xdr:row>25</xdr:row>
      <xdr:rowOff>57150</xdr:rowOff>
    </xdr:to>
    <xdr:graphicFrame macro="">
      <xdr:nvGraphicFramePr>
        <xdr:cNvPr id="2" name="Chart 1" descr="Chart of CDBG and CDBG-VA Beneficiary Demographic Data, showing 217 (65%) female head of household, 59 (18%) disabled, and 55 (17%) elderly.">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3</xdr:row>
      <xdr:rowOff>111125</xdr:rowOff>
    </xdr:from>
    <xdr:to>
      <xdr:col>11</xdr:col>
      <xdr:colOff>606425</xdr:colOff>
      <xdr:row>5</xdr:row>
      <xdr:rowOff>75140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7743825" y="685800"/>
          <a:ext cx="1276350" cy="341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CHART 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a1f1/dept/Housing%20and%20Community%20Investment/Financial%20Worksheets/2017%20CDBG-HOME/CDBG/2017%20CDBG%20Drawdown%20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down-NEW"/>
      <sheetName val="Data Worksheet"/>
      <sheetName val="Sheet1"/>
      <sheetName val="Summary 2017 Expenditures"/>
      <sheetName val="Budget Review "/>
      <sheetName val="Draw Voucher"/>
      <sheetName val="Draw - Details"/>
      <sheetName val="Draw - Details by Draw"/>
      <sheetName val="Unallocated Details"/>
      <sheetName val="Draws Completed"/>
      <sheetName val="MUNIS Reconciliation"/>
      <sheetName val="Postage Allocation"/>
      <sheetName val="Admin-Public Calculations"/>
      <sheetName val="Timeliness Ratio Calcuation"/>
      <sheetName val="Budget Accounts"/>
      <sheetName val="Other Lists"/>
      <sheetName val="08-2017 Payroll Benefits"/>
      <sheetName val="08-2017 Data"/>
      <sheetName val="Program Report 2017 Pivot"/>
      <sheetName val="Program Data"/>
      <sheetName val="Public Services Cap"/>
      <sheetName val="NRA Eligibility"/>
      <sheetName val="Administration Cap"/>
      <sheetName val="Timeliness Rat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redda Martinez" refreshedDate="44974.488636574075" createdVersion="4" refreshedVersion="6" minRefreshableVersion="3" recordCount="3" xr:uid="{00000000-000A-0000-FFFF-FFFF03000000}">
  <cacheSource type="worksheet">
    <worksheetSource ref="A50:E53" sheet="CDBG"/>
  </cacheSource>
  <cacheFields count="5">
    <cacheField name="Program" numFmtId="0">
      <sharedItems count="14">
        <s v="Housing"/>
        <s v="Program Admin\Planning"/>
        <s v="CDBG Funds Not Allocated "/>
        <s v="Community Investment Programs" u="1"/>
        <s v="Neighborhood Revitalization" u="1"/>
        <s v="Neighborhood Revitalization Projects" u="1"/>
        <s v="Program Administration" u="1"/>
        <s v="Economic Develop." u="1"/>
        <s v="Neighbor-hood Revital-ization" u="1"/>
        <s v="Community Investment" u="1"/>
        <s v="Economic Development Programs" u="1"/>
        <s v="Housing Programs" u="1"/>
        <s v="Economic Development" u="1"/>
        <s v="Program Admin." u="1"/>
      </sharedItems>
    </cacheField>
    <cacheField name="Budget" numFmtId="39">
      <sharedItems containsSemiMixedTypes="0" containsString="0" containsNumber="1" minValue="9388.1200000000008" maxValue="1222427.06"/>
    </cacheField>
    <cacheField name="Expenditures" numFmtId="39">
      <sharedItems containsString="0" containsBlank="1" containsNumber="1" minValue="108801" maxValue="780405.75"/>
    </cacheField>
    <cacheField name="% of Expend" numFmtId="9">
      <sharedItems containsSemiMixedTypes="0" containsString="0" containsNumber="1" minValue="0" maxValue="1"/>
    </cacheField>
    <cacheField name="Category Budget as % of Total Budget" numFmtId="9">
      <sharedItems containsSemiMixedTypes="0" containsString="0" containsNumber="1" minValue="7.002839545021752E-3" maxValue="0.91183970344144283"/>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redda Martinez" refreshedDate="44974.493985069443" createdVersion="4" refreshedVersion="6" minRefreshableVersion="3" recordCount="2" xr:uid="{00000000-000A-0000-FFFF-FFFF04000000}">
  <cacheSource type="worksheet">
    <worksheetSource ref="A50:C52" sheet="CDBG"/>
  </cacheSource>
  <cacheFields count="3">
    <cacheField name="Program" numFmtId="0">
      <sharedItems count="11">
        <s v="Housing"/>
        <s v="Program Admin\Planning"/>
        <s v="Economic Develop." u="1"/>
        <s v="Program Administration" u="1"/>
        <s v="Housing Programs" u="1"/>
        <s v="Program Admin." u="1"/>
        <s v="Community Investment Programs" u="1"/>
        <s v="Neighborhood Revitalization Projects" u="1"/>
        <s v="Economic Development Programs" u="1"/>
        <s v="Community Investment" u="1"/>
        <s v="Neighbor-hood Revital-ization" u="1"/>
      </sharedItems>
    </cacheField>
    <cacheField name="Budget" numFmtId="39">
      <sharedItems containsSemiMixedTypes="0" containsString="0" containsNumber="1" minValue="108801" maxValue="1222427.06"/>
    </cacheField>
    <cacheField name="Expenditures" numFmtId="39">
      <sharedItems containsSemiMixedTypes="0" containsString="0" containsNumber="1" minValue="108801" maxValue="780405.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n v="1222427.06"/>
    <n v="780405.75"/>
    <n v="0.63840680195675636"/>
    <n v="0.91183970344144283"/>
  </r>
  <r>
    <x v="1"/>
    <n v="108801"/>
    <n v="108801"/>
    <n v="1"/>
    <n v="8.115745701353537E-2"/>
  </r>
  <r>
    <x v="2"/>
    <n v="9388.1200000000008"/>
    <m/>
    <n v="0"/>
    <n v="7.002839545021752E-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n v="1222427.06"/>
    <n v="780405.75"/>
  </r>
  <r>
    <x v="1"/>
    <n v="108801"/>
    <n v="1088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2" cacheId="0" applyNumberFormats="0" applyBorderFormats="0" applyFontFormats="0" applyPatternFormats="0" applyAlignmentFormats="0" applyWidthHeightFormats="1" dataCaption="Data" updatedVersion="6" minRefreshableVersion="3" showMemberPropertyTips="0" useAutoFormatting="1" itemPrintTitles="1" createdVersion="5" indent="0" compact="0" compactData="0" gridDropZones="1" chartFormat="2">
  <location ref="A1:C6" firstHeaderRow="1" firstDataRow="2" firstDataCol="1"/>
  <pivotFields count="5">
    <pivotField axis="axisRow" compact="0" outline="0" subtotalTop="0" showAll="0" includeNewItemsInFilter="1">
      <items count="15">
        <item x="2"/>
        <item m="1" x="3"/>
        <item m="1" x="10"/>
        <item m="1" x="11"/>
        <item m="1" x="5"/>
        <item m="1" x="6"/>
        <item m="1" x="9"/>
        <item m="1" x="12"/>
        <item x="0"/>
        <item m="1" x="4"/>
        <item h="1" m="1" x="7"/>
        <item m="1" x="13"/>
        <item h="1" m="1" x="8"/>
        <item x="1"/>
        <item t="default"/>
      </items>
    </pivotField>
    <pivotField dataField="1" compact="0" numFmtId="39" outline="0" subtotalTop="0" showAll="0" includeNewItemsInFilter="1"/>
    <pivotField compact="0" outline="0" subtotalTop="0" showAll="0" includeNewItemsInFilter="1"/>
    <pivotField compact="0" numFmtId="9" outline="0" subtotalTop="0" showAll="0" includeNewItemsInFilter="1"/>
    <pivotField dataField="1" compact="0" numFmtId="9" outline="0" subtotalTop="0" showAll="0" includeNewItemsInFilter="1"/>
  </pivotFields>
  <rowFields count="1">
    <field x="0"/>
  </rowFields>
  <rowItems count="4">
    <i>
      <x/>
    </i>
    <i>
      <x v="8"/>
    </i>
    <i>
      <x v="13"/>
    </i>
    <i t="grand">
      <x/>
    </i>
  </rowItems>
  <colFields count="1">
    <field x="-2"/>
  </colFields>
  <colItems count="2">
    <i>
      <x/>
    </i>
    <i i="1">
      <x v="1"/>
    </i>
  </colItems>
  <dataFields count="2">
    <dataField name="Sum of Category Budget as % of Total Budget" fld="4" baseField="0" baseItem="0" numFmtId="9"/>
    <dataField name="Sum of Budget" fld="1" baseField="0" baseItem="2" numFmtId="39"/>
  </dataFields>
  <formats count="3">
    <format dxfId="2">
      <pivotArea outline="0" collapsedLevelsAreSubtotals="1" fieldPosition="0"/>
    </format>
    <format dxfId="1">
      <pivotArea type="topRight" dataOnly="0" labelOnly="1" outline="0" fieldPosition="0"/>
    </format>
    <format dxfId="0">
      <pivotArea outline="0" collapsedLevelsAreSubtotals="1" fieldPosition="0">
        <references count="1">
          <reference field="4294967294" count="1">
            <x v="1"/>
          </reference>
        </references>
      </pivotArea>
    </format>
  </formats>
  <chartFormats count="1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8"/>
          </reference>
        </references>
      </pivotArea>
    </chartFormat>
    <chartFormat chart="0" format="3">
      <pivotArea type="data" outline="0" fieldPosition="0">
        <references count="2">
          <reference field="4294967294" count="1" selected="0">
            <x v="0"/>
          </reference>
          <reference field="0" count="1" selected="0">
            <x v="13"/>
          </reference>
        </references>
      </pivotArea>
    </chartFormat>
    <chartFormat chart="0" format="4" series="1">
      <pivotArea type="data" outline="0" fieldPosition="0">
        <references count="1">
          <reference field="4294967294" count="1" selected="0">
            <x v="1"/>
          </reference>
        </references>
      </pivotArea>
    </chartFormat>
    <chartFormat chart="0" format="5">
      <pivotArea type="data" outline="0" fieldPosition="0">
        <references count="2">
          <reference field="4294967294" count="1" selected="0">
            <x v="1"/>
          </reference>
          <reference field="0" count="1" selected="0">
            <x v="0"/>
          </reference>
        </references>
      </pivotArea>
    </chartFormat>
    <chartFormat chart="0" format="6">
      <pivotArea type="data" outline="0" fieldPosition="0">
        <references count="2">
          <reference field="4294967294" count="1" selected="0">
            <x v="1"/>
          </reference>
          <reference field="0" count="1" selected="0">
            <x v="8"/>
          </reference>
        </references>
      </pivotArea>
    </chartFormat>
    <chartFormat chart="0" format="7">
      <pivotArea type="data" outline="0" fieldPosition="0">
        <references count="2">
          <reference field="4294967294" count="1" selected="0">
            <x v="1"/>
          </reference>
          <reference field="0" count="1" selected="0">
            <x v="13"/>
          </reference>
        </references>
      </pivotArea>
    </chartFormat>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0" count="1" selected="0">
            <x v="0"/>
          </reference>
        </references>
      </pivotArea>
    </chartFormat>
    <chartFormat chart="1" format="2">
      <pivotArea type="data" outline="0" fieldPosition="0">
        <references count="2">
          <reference field="4294967294" count="1" selected="0">
            <x v="0"/>
          </reference>
          <reference field="0" count="1" selected="0">
            <x v="8"/>
          </reference>
        </references>
      </pivotArea>
    </chartFormat>
    <chartFormat chart="1" format="3">
      <pivotArea type="data" outline="0" fieldPosition="0">
        <references count="2">
          <reference field="4294967294" count="1" selected="0">
            <x v="0"/>
          </reference>
          <reference field="0" count="1" selected="0">
            <x v="13"/>
          </reference>
        </references>
      </pivotArea>
    </chartFormat>
    <chartFormat chart="1" format="4" series="1">
      <pivotArea type="data" outline="0" fieldPosition="0">
        <references count="1">
          <reference field="4294967294" count="1" selected="0">
            <x v="1"/>
          </reference>
        </references>
      </pivotArea>
    </chartFormat>
    <chartFormat chart="1" format="5">
      <pivotArea type="data" outline="0" fieldPosition="0">
        <references count="2">
          <reference field="4294967294" count="1" selected="0">
            <x v="1"/>
          </reference>
          <reference field="0" count="1" selected="0">
            <x v="0"/>
          </reference>
        </references>
      </pivotArea>
    </chartFormat>
    <chartFormat chart="1" format="6">
      <pivotArea type="data" outline="0" fieldPosition="0">
        <references count="2">
          <reference field="4294967294" count="1" selected="0">
            <x v="1"/>
          </reference>
          <reference field="0" count="1" selected="0">
            <x v="8"/>
          </reference>
        </references>
      </pivotArea>
    </chartFormat>
    <chartFormat chart="1" format="7">
      <pivotArea type="data" outline="0" fieldPosition="0">
        <references count="2">
          <reference field="4294967294" count="1" selected="0">
            <x v="1"/>
          </reference>
          <reference field="0" count="1" selected="0">
            <x v="13"/>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PivotTable5" cacheId="1" dataOnRows="1" applyNumberFormats="0" applyBorderFormats="0" applyFontFormats="0" applyPatternFormats="0" applyAlignmentFormats="0" applyWidthHeightFormats="1" dataCaption="Data" updatedVersion="6" minRefreshableVersion="3" showMemberPropertyTips="0" useAutoFormatting="1" itemPrintTitles="1" createdVersion="6" indent="0" compact="0" compactData="0" gridDropZones="1" chartFormat="2">
  <location ref="A1:B5" firstHeaderRow="2" firstDataRow="2" firstDataCol="1"/>
  <pivotFields count="3">
    <pivotField axis="axisRow" compact="0" outline="0" subtotalTop="0" showAll="0" includeNewItemsInFilter="1">
      <items count="12">
        <item m="1" x="6"/>
        <item m="1" x="8"/>
        <item m="1" x="4"/>
        <item m="1" x="7"/>
        <item m="1" x="3"/>
        <item m="1" x="9"/>
        <item h="1" m="1" x="2"/>
        <item x="0"/>
        <item h="1" m="1" x="10"/>
        <item m="1" x="5"/>
        <item x="1"/>
        <item t="default"/>
      </items>
    </pivotField>
    <pivotField compact="0" numFmtId="39" outline="0" subtotalTop="0" showAll="0" includeNewItemsInFilter="1"/>
    <pivotField dataField="1" compact="0" numFmtId="39" outline="0" subtotalTop="0" showAll="0" includeNewItemsInFilter="1"/>
  </pivotFields>
  <rowFields count="1">
    <field x="0"/>
  </rowFields>
  <rowItems count="3">
    <i>
      <x v="7"/>
    </i>
    <i>
      <x v="10"/>
    </i>
    <i t="grand">
      <x/>
    </i>
  </rowItems>
  <colItems count="1">
    <i/>
  </colItems>
  <dataFields count="1">
    <dataField name="Sum of Expenditures" fld="2" baseField="0"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7"/>
          </reference>
        </references>
      </pivotArea>
    </chartFormat>
    <chartFormat chart="0" format="2">
      <pivotArea type="data" outline="0" fieldPosition="0">
        <references count="2">
          <reference field="4294967294" count="1" selected="0">
            <x v="0"/>
          </reference>
          <reference field="0" count="1" selected="0">
            <x v="1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ivotTable" Target="../pivotTables/pivotTable2.xml"/><Relationship Id="rId6" Type="http://schemas.openxmlformats.org/officeDocument/2006/relationships/drawing" Target="../drawings/drawing6.xml"/><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drawing" Target="../drawings/drawing2.xml"/><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ivotTable" Target="../pivotTables/pivotTable1.xml"/><Relationship Id="rId6" Type="http://schemas.openxmlformats.org/officeDocument/2006/relationships/drawing" Target="../drawings/drawing3.xml"/><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R94"/>
  <sheetViews>
    <sheetView zoomScale="64" zoomScaleNormal="64" workbookViewId="0">
      <pane xSplit="2" ySplit="3" topLeftCell="F14" activePane="bottomRight" state="frozen"/>
      <selection pane="topRight" activeCell="C1" sqref="C1"/>
      <selection pane="bottomLeft" activeCell="A4" sqref="A4"/>
      <selection pane="bottomRight" activeCell="J19" sqref="J19"/>
    </sheetView>
  </sheetViews>
  <sheetFormatPr defaultColWidth="39" defaultRowHeight="15" x14ac:dyDescent="0.25"/>
  <cols>
    <col min="1" max="1" width="60.42578125" style="2" customWidth="1"/>
    <col min="2" max="2" width="163.7109375" style="2" bestFit="1" customWidth="1"/>
    <col min="3" max="3" width="27.28515625" style="1" bestFit="1" customWidth="1"/>
    <col min="4" max="4" width="31.85546875" style="1" customWidth="1"/>
    <col min="5" max="5" width="20.7109375" style="1" customWidth="1"/>
    <col min="6" max="6" width="33.85546875" style="1" bestFit="1" customWidth="1"/>
    <col min="7" max="9" width="12.7109375" style="1" customWidth="1"/>
    <col min="10" max="10" width="15.28515625" style="1" bestFit="1" customWidth="1"/>
    <col min="11" max="13" width="12.7109375" style="1" customWidth="1"/>
    <col min="14" max="14" width="15" style="1" customWidth="1"/>
    <col min="15" max="15" width="15.42578125" style="1" customWidth="1"/>
    <col min="16" max="16" width="12.7109375" style="1" customWidth="1"/>
    <col min="17" max="17" width="30.7109375" style="1" customWidth="1"/>
    <col min="18" max="16384" width="39" style="1"/>
  </cols>
  <sheetData>
    <row r="1" spans="1:17" ht="26.25" x14ac:dyDescent="0.25">
      <c r="A1" s="343" t="s">
        <v>0</v>
      </c>
      <c r="B1" s="343"/>
      <c r="C1" s="343"/>
      <c r="D1" s="343"/>
      <c r="E1" s="343"/>
      <c r="F1" s="343"/>
      <c r="G1" s="343"/>
      <c r="H1" s="343"/>
      <c r="I1" s="343"/>
      <c r="J1" s="343"/>
      <c r="K1" s="343"/>
      <c r="L1" s="343"/>
      <c r="M1" s="343"/>
      <c r="N1" s="343"/>
      <c r="O1" s="343"/>
      <c r="P1" s="343"/>
      <c r="Q1" s="343"/>
    </row>
    <row r="3" spans="1:17" s="23" customFormat="1" ht="79.5" thickBot="1" x14ac:dyDescent="0.3">
      <c r="A3" s="227" t="s">
        <v>1</v>
      </c>
      <c r="B3" s="227" t="s">
        <v>2</v>
      </c>
      <c r="C3" s="228" t="s">
        <v>3</v>
      </c>
      <c r="D3" s="228" t="s">
        <v>4</v>
      </c>
      <c r="E3" s="228" t="s">
        <v>5</v>
      </c>
      <c r="F3" s="228" t="s">
        <v>6</v>
      </c>
      <c r="G3" s="227" t="s">
        <v>7</v>
      </c>
      <c r="H3" s="227" t="s">
        <v>8</v>
      </c>
      <c r="I3" s="227" t="s">
        <v>9</v>
      </c>
      <c r="J3" s="227" t="s">
        <v>10</v>
      </c>
      <c r="K3" s="227" t="s">
        <v>11</v>
      </c>
      <c r="L3" s="227" t="s">
        <v>12</v>
      </c>
      <c r="M3" s="227" t="s">
        <v>13</v>
      </c>
      <c r="N3" s="227" t="s">
        <v>14</v>
      </c>
      <c r="O3" s="229" t="s">
        <v>15</v>
      </c>
      <c r="P3" s="227" t="s">
        <v>16</v>
      </c>
      <c r="Q3" s="227" t="s">
        <v>17</v>
      </c>
    </row>
    <row r="4" spans="1:17" s="25" customFormat="1" ht="23.25" hidden="1" x14ac:dyDescent="0.25">
      <c r="A4" s="72" t="s">
        <v>18</v>
      </c>
      <c r="B4" s="73"/>
      <c r="C4" s="74"/>
      <c r="D4" s="74"/>
      <c r="E4" s="74"/>
      <c r="F4" s="74"/>
      <c r="G4" s="75"/>
      <c r="H4" s="75"/>
      <c r="I4" s="75"/>
      <c r="J4" s="75"/>
      <c r="K4" s="75"/>
      <c r="L4" s="75"/>
      <c r="M4" s="75"/>
      <c r="N4" s="75"/>
      <c r="O4" s="75"/>
      <c r="P4" s="75"/>
      <c r="Q4" s="76"/>
    </row>
    <row r="5" spans="1:17" s="52" customFormat="1" ht="15.75" hidden="1" x14ac:dyDescent="0.25">
      <c r="A5" s="64"/>
      <c r="B5" s="155"/>
      <c r="C5" s="158"/>
      <c r="D5" s="158"/>
      <c r="E5" s="158"/>
      <c r="F5" s="163"/>
      <c r="G5" s="67"/>
      <c r="H5" s="67"/>
      <c r="I5" s="67"/>
      <c r="J5" s="67"/>
      <c r="K5" s="67"/>
      <c r="L5" s="67"/>
      <c r="M5" s="67"/>
      <c r="N5" s="67"/>
      <c r="O5" s="157"/>
      <c r="P5" s="157"/>
      <c r="Q5" s="67"/>
    </row>
    <row r="6" spans="1:17" s="52" customFormat="1" ht="15.75" hidden="1" x14ac:dyDescent="0.25">
      <c r="A6" s="90" t="s">
        <v>19</v>
      </c>
      <c r="B6" s="90"/>
      <c r="C6" s="164">
        <f t="shared" ref="C6:Q6" si="0">SUM(C5:C5)</f>
        <v>0</v>
      </c>
      <c r="D6" s="164">
        <f t="shared" si="0"/>
        <v>0</v>
      </c>
      <c r="E6" s="164"/>
      <c r="F6" s="164">
        <f t="shared" si="0"/>
        <v>0</v>
      </c>
      <c r="G6" s="99">
        <f t="shared" si="0"/>
        <v>0</v>
      </c>
      <c r="H6" s="99">
        <f t="shared" si="0"/>
        <v>0</v>
      </c>
      <c r="I6" s="99">
        <f t="shared" si="0"/>
        <v>0</v>
      </c>
      <c r="J6" s="99">
        <f t="shared" si="0"/>
        <v>0</v>
      </c>
      <c r="K6" s="99">
        <f t="shared" si="0"/>
        <v>0</v>
      </c>
      <c r="L6" s="99">
        <f t="shared" si="0"/>
        <v>0</v>
      </c>
      <c r="M6" s="99">
        <f t="shared" si="0"/>
        <v>0</v>
      </c>
      <c r="N6" s="99">
        <f t="shared" si="0"/>
        <v>0</v>
      </c>
      <c r="O6" s="99">
        <f t="shared" si="0"/>
        <v>0</v>
      </c>
      <c r="P6" s="99">
        <f t="shared" si="0"/>
        <v>0</v>
      </c>
      <c r="Q6" s="99">
        <f t="shared" si="0"/>
        <v>0</v>
      </c>
    </row>
    <row r="7" spans="1:17" hidden="1" x14ac:dyDescent="0.25">
      <c r="A7" s="230"/>
      <c r="B7" s="39"/>
      <c r="C7" s="131"/>
      <c r="D7" s="131"/>
      <c r="E7" s="131"/>
      <c r="F7" s="131"/>
      <c r="G7" s="40"/>
      <c r="H7" s="40"/>
      <c r="I7" s="40"/>
      <c r="J7" s="40"/>
      <c r="K7" s="40"/>
      <c r="L7" s="40"/>
      <c r="M7" s="40"/>
      <c r="N7" s="40"/>
      <c r="O7" s="40"/>
      <c r="P7" s="40"/>
      <c r="Q7" s="231"/>
    </row>
    <row r="8" spans="1:17" s="25" customFormat="1" ht="23.25" hidden="1" x14ac:dyDescent="0.25">
      <c r="A8" s="53" t="s">
        <v>20</v>
      </c>
      <c r="B8" s="54"/>
      <c r="C8" s="132"/>
      <c r="D8" s="132"/>
      <c r="E8" s="132"/>
      <c r="F8" s="132"/>
      <c r="G8" s="55"/>
      <c r="H8" s="55"/>
      <c r="I8" s="55"/>
      <c r="J8" s="55"/>
      <c r="K8" s="55"/>
      <c r="L8" s="55"/>
      <c r="M8" s="55"/>
      <c r="N8" s="55"/>
      <c r="O8" s="55"/>
      <c r="P8" s="55"/>
      <c r="Q8" s="56"/>
    </row>
    <row r="9" spans="1:17" s="52" customFormat="1" ht="15.75" hidden="1" x14ac:dyDescent="0.25">
      <c r="A9" s="64"/>
      <c r="B9" s="64"/>
      <c r="C9" s="130"/>
      <c r="D9" s="130"/>
      <c r="E9" s="130"/>
      <c r="F9" s="130"/>
      <c r="G9" s="344"/>
      <c r="H9" s="345"/>
      <c r="I9" s="345"/>
      <c r="J9" s="345"/>
      <c r="K9" s="345"/>
      <c r="L9" s="345"/>
      <c r="M9" s="345"/>
      <c r="N9" s="345"/>
      <c r="O9" s="345"/>
      <c r="P9" s="345"/>
      <c r="Q9" s="346"/>
    </row>
    <row r="10" spans="1:17" s="52" customFormat="1" ht="15.75" hidden="1" x14ac:dyDescent="0.25">
      <c r="A10" s="87" t="s">
        <v>21</v>
      </c>
      <c r="B10" s="87"/>
      <c r="C10" s="133">
        <f>SUM(C9)</f>
        <v>0</v>
      </c>
      <c r="D10" s="133">
        <f>SUM(D9)</f>
        <v>0</v>
      </c>
      <c r="E10" s="133"/>
      <c r="F10" s="133">
        <f>SUM(F9)</f>
        <v>0</v>
      </c>
      <c r="G10" s="114">
        <f t="shared" ref="G10:N10" si="1">SUM(G9)</f>
        <v>0</v>
      </c>
      <c r="H10" s="114">
        <f t="shared" si="1"/>
        <v>0</v>
      </c>
      <c r="I10" s="114">
        <f t="shared" si="1"/>
        <v>0</v>
      </c>
      <c r="J10" s="114">
        <f t="shared" si="1"/>
        <v>0</v>
      </c>
      <c r="K10" s="114">
        <f t="shared" si="1"/>
        <v>0</v>
      </c>
      <c r="L10" s="114">
        <f t="shared" si="1"/>
        <v>0</v>
      </c>
      <c r="M10" s="114">
        <f t="shared" si="1"/>
        <v>0</v>
      </c>
      <c r="N10" s="114">
        <f t="shared" si="1"/>
        <v>0</v>
      </c>
      <c r="O10" s="114"/>
      <c r="P10" s="114"/>
      <c r="Q10" s="114"/>
    </row>
    <row r="11" spans="1:17" hidden="1" x14ac:dyDescent="0.25">
      <c r="A11" s="232"/>
      <c r="B11" s="36"/>
      <c r="C11" s="134"/>
      <c r="D11" s="134"/>
      <c r="E11" s="134"/>
      <c r="F11" s="134"/>
      <c r="G11" s="37"/>
      <c r="H11" s="37"/>
      <c r="I11" s="37"/>
      <c r="J11" s="37"/>
      <c r="K11" s="37"/>
      <c r="L11" s="37"/>
      <c r="M11" s="37"/>
      <c r="N11" s="37"/>
      <c r="O11" s="37"/>
      <c r="P11" s="37"/>
      <c r="Q11" s="233"/>
    </row>
    <row r="12" spans="1:17" s="26" customFormat="1" ht="23.25" x14ac:dyDescent="0.25">
      <c r="A12" s="205" t="s">
        <v>22</v>
      </c>
      <c r="B12" s="206"/>
      <c r="C12" s="207"/>
      <c r="D12" s="207"/>
      <c r="E12" s="207"/>
      <c r="F12" s="207"/>
      <c r="G12" s="208"/>
      <c r="H12" s="208"/>
      <c r="I12" s="208"/>
      <c r="J12" s="208"/>
      <c r="K12" s="208"/>
      <c r="L12" s="208"/>
      <c r="M12" s="208"/>
      <c r="N12" s="208"/>
      <c r="O12" s="208"/>
      <c r="P12" s="208"/>
      <c r="Q12" s="209"/>
    </row>
    <row r="13" spans="1:17" s="52" customFormat="1" ht="87.75" customHeight="1" x14ac:dyDescent="0.25">
      <c r="A13" s="64" t="s">
        <v>23</v>
      </c>
      <c r="B13" s="64" t="s">
        <v>24</v>
      </c>
      <c r="C13" s="158">
        <f>28971.14+15000-2560.93</f>
        <v>41410.21</v>
      </c>
      <c r="D13" s="158">
        <v>16501.759999999998</v>
      </c>
      <c r="E13" s="158">
        <f>C13-D13</f>
        <v>24908.45</v>
      </c>
      <c r="F13" s="297" t="s">
        <v>25</v>
      </c>
      <c r="G13" s="347" t="s">
        <v>26</v>
      </c>
      <c r="H13" s="348"/>
      <c r="I13" s="348"/>
      <c r="J13" s="348"/>
      <c r="K13" s="348"/>
      <c r="L13" s="348"/>
      <c r="M13" s="348"/>
      <c r="N13" s="348"/>
      <c r="O13" s="348"/>
      <c r="P13" s="348"/>
      <c r="Q13" s="349"/>
    </row>
    <row r="14" spans="1:17" s="52" customFormat="1" ht="176.1" customHeight="1" x14ac:dyDescent="0.25">
      <c r="A14" s="298" t="s">
        <v>27</v>
      </c>
      <c r="B14" s="122" t="s">
        <v>28</v>
      </c>
      <c r="C14" s="158">
        <f>90635.16+42798.05+70834.27+21813.49+200356.2-1298.27</f>
        <v>425138.9</v>
      </c>
      <c r="D14" s="158">
        <v>141232.04</v>
      </c>
      <c r="E14" s="158">
        <f t="shared" ref="E14:E22" si="2">C14-D14</f>
        <v>283906.86</v>
      </c>
      <c r="F14" s="299" t="s">
        <v>29</v>
      </c>
      <c r="G14" s="153">
        <v>15</v>
      </c>
      <c r="H14" s="153">
        <v>8</v>
      </c>
      <c r="I14" s="153">
        <v>6</v>
      </c>
      <c r="J14" s="153">
        <v>1</v>
      </c>
      <c r="K14" s="153"/>
      <c r="L14" s="153">
        <v>14</v>
      </c>
      <c r="M14" s="153">
        <v>2</v>
      </c>
      <c r="N14" s="153">
        <v>1</v>
      </c>
      <c r="O14" s="153">
        <v>10</v>
      </c>
      <c r="P14" s="153">
        <v>4</v>
      </c>
      <c r="Q14" s="153">
        <v>10</v>
      </c>
    </row>
    <row r="15" spans="1:17" s="52" customFormat="1" ht="130.35" customHeight="1" x14ac:dyDescent="0.25">
      <c r="A15" s="64" t="s">
        <v>30</v>
      </c>
      <c r="B15" s="300" t="s">
        <v>31</v>
      </c>
      <c r="C15" s="158">
        <v>50000</v>
      </c>
      <c r="D15" s="158">
        <v>50000</v>
      </c>
      <c r="E15" s="158">
        <f t="shared" si="2"/>
        <v>0</v>
      </c>
      <c r="F15" s="301">
        <v>396401</v>
      </c>
      <c r="G15" s="67">
        <v>205</v>
      </c>
      <c r="H15" s="67">
        <v>95</v>
      </c>
      <c r="I15" s="67">
        <v>63</v>
      </c>
      <c r="J15" s="67">
        <v>26</v>
      </c>
      <c r="K15" s="67">
        <v>21</v>
      </c>
      <c r="L15" s="67">
        <v>182</v>
      </c>
      <c r="M15" s="67">
        <v>55</v>
      </c>
      <c r="N15" s="67">
        <v>23</v>
      </c>
      <c r="O15" s="67">
        <v>42</v>
      </c>
      <c r="P15" s="67">
        <v>22</v>
      </c>
      <c r="Q15" s="67">
        <v>45</v>
      </c>
    </row>
    <row r="16" spans="1:17" s="52" customFormat="1" ht="31.5" x14ac:dyDescent="0.25">
      <c r="A16" s="64" t="s">
        <v>32</v>
      </c>
      <c r="B16" s="300" t="s">
        <v>33</v>
      </c>
      <c r="C16" s="158">
        <v>61600</v>
      </c>
      <c r="D16" s="158">
        <v>0</v>
      </c>
      <c r="E16" s="158">
        <f t="shared" si="2"/>
        <v>61600</v>
      </c>
      <c r="F16" s="163">
        <v>0</v>
      </c>
      <c r="G16" s="334" t="s">
        <v>34</v>
      </c>
      <c r="H16" s="335"/>
      <c r="I16" s="335"/>
      <c r="J16" s="335"/>
      <c r="K16" s="335"/>
      <c r="L16" s="335"/>
      <c r="M16" s="335"/>
      <c r="N16" s="335"/>
      <c r="O16" s="335"/>
      <c r="P16" s="335"/>
      <c r="Q16" s="336"/>
    </row>
    <row r="17" spans="1:17" s="52" customFormat="1" ht="51" customHeight="1" x14ac:dyDescent="0.25">
      <c r="A17" s="64" t="s">
        <v>35</v>
      </c>
      <c r="B17" s="300" t="s">
        <v>36</v>
      </c>
      <c r="C17" s="158">
        <v>25800</v>
      </c>
      <c r="D17" s="158">
        <v>0</v>
      </c>
      <c r="E17" s="158">
        <f t="shared" si="2"/>
        <v>25800</v>
      </c>
      <c r="F17" s="301">
        <v>0</v>
      </c>
      <c r="G17" s="337" t="s">
        <v>34</v>
      </c>
      <c r="H17" s="338"/>
      <c r="I17" s="338"/>
      <c r="J17" s="338"/>
      <c r="K17" s="338"/>
      <c r="L17" s="338"/>
      <c r="M17" s="338"/>
      <c r="N17" s="338"/>
      <c r="O17" s="338"/>
      <c r="P17" s="338"/>
      <c r="Q17" s="339"/>
    </row>
    <row r="18" spans="1:17" s="52" customFormat="1" ht="69.75" customHeight="1" x14ac:dyDescent="0.25">
      <c r="A18" s="64" t="s">
        <v>37</v>
      </c>
      <c r="B18" s="300" t="s">
        <v>38</v>
      </c>
      <c r="C18" s="158">
        <v>402915.97</v>
      </c>
      <c r="D18" s="158">
        <v>402915.97</v>
      </c>
      <c r="E18" s="158">
        <f t="shared" si="2"/>
        <v>0</v>
      </c>
      <c r="F18" s="301">
        <v>30445478</v>
      </c>
      <c r="G18" s="340" t="s">
        <v>39</v>
      </c>
      <c r="H18" s="341"/>
      <c r="I18" s="341"/>
      <c r="J18" s="341"/>
      <c r="K18" s="341"/>
      <c r="L18" s="341"/>
      <c r="M18" s="341"/>
      <c r="N18" s="341"/>
      <c r="O18" s="341"/>
      <c r="P18" s="341"/>
      <c r="Q18" s="342"/>
    </row>
    <row r="19" spans="1:17" s="52" customFormat="1" ht="98.45" customHeight="1" x14ac:dyDescent="0.25">
      <c r="A19" s="64" t="s">
        <v>40</v>
      </c>
      <c r="B19" s="64" t="s">
        <v>41</v>
      </c>
      <c r="C19" s="158">
        <f>59000-9001</f>
        <v>49999</v>
      </c>
      <c r="D19" s="158">
        <v>49999</v>
      </c>
      <c r="E19" s="158">
        <f t="shared" si="2"/>
        <v>0</v>
      </c>
      <c r="F19" s="158">
        <v>7000</v>
      </c>
      <c r="G19" s="325">
        <v>6</v>
      </c>
      <c r="H19" s="302">
        <v>6</v>
      </c>
      <c r="I19" s="302"/>
      <c r="J19" s="302"/>
      <c r="K19" s="302"/>
      <c r="L19" s="302">
        <v>6</v>
      </c>
      <c r="M19" s="302">
        <v>1</v>
      </c>
      <c r="N19" s="302"/>
      <c r="O19" s="302"/>
      <c r="P19" s="302">
        <v>6</v>
      </c>
      <c r="Q19" s="302">
        <v>3</v>
      </c>
    </row>
    <row r="20" spans="1:17" s="52" customFormat="1" ht="87.75" customHeight="1" x14ac:dyDescent="0.25">
      <c r="A20" s="64" t="s">
        <v>42</v>
      </c>
      <c r="B20" s="300" t="s">
        <v>43</v>
      </c>
      <c r="C20" s="158">
        <v>36805</v>
      </c>
      <c r="D20" s="158">
        <v>0</v>
      </c>
      <c r="E20" s="158">
        <f t="shared" si="2"/>
        <v>36805</v>
      </c>
      <c r="F20" s="301">
        <v>0</v>
      </c>
      <c r="G20" s="337" t="s">
        <v>34</v>
      </c>
      <c r="H20" s="338"/>
      <c r="I20" s="338"/>
      <c r="J20" s="338"/>
      <c r="K20" s="338"/>
      <c r="L20" s="338"/>
      <c r="M20" s="338"/>
      <c r="N20" s="338"/>
      <c r="O20" s="338"/>
      <c r="P20" s="338"/>
      <c r="Q20" s="339"/>
    </row>
    <row r="21" spans="1:17" s="52" customFormat="1" ht="81" customHeight="1" x14ac:dyDescent="0.25">
      <c r="A21" s="64" t="s">
        <v>44</v>
      </c>
      <c r="B21" s="64" t="s">
        <v>45</v>
      </c>
      <c r="C21" s="158">
        <v>30206</v>
      </c>
      <c r="D21" s="158">
        <v>30206</v>
      </c>
      <c r="E21" s="158">
        <f t="shared" si="2"/>
        <v>0</v>
      </c>
      <c r="F21" s="158">
        <v>369794</v>
      </c>
      <c r="G21" s="67">
        <v>64</v>
      </c>
      <c r="H21" s="67">
        <v>15</v>
      </c>
      <c r="I21" s="67">
        <v>10</v>
      </c>
      <c r="J21" s="67">
        <v>37</v>
      </c>
      <c r="K21" s="67">
        <v>2</v>
      </c>
      <c r="L21" s="67">
        <v>37</v>
      </c>
      <c r="M21" s="67">
        <v>35</v>
      </c>
      <c r="N21" s="67">
        <v>27</v>
      </c>
      <c r="O21" s="67">
        <v>3</v>
      </c>
      <c r="P21" s="67">
        <v>0</v>
      </c>
      <c r="Q21" s="67">
        <v>50</v>
      </c>
    </row>
    <row r="22" spans="1:17" s="52" customFormat="1" ht="47.1" customHeight="1" x14ac:dyDescent="0.25">
      <c r="A22" s="64" t="s">
        <v>46</v>
      </c>
      <c r="B22" s="64" t="s">
        <v>47</v>
      </c>
      <c r="C22" s="158">
        <v>89550.98</v>
      </c>
      <c r="D22" s="158">
        <v>89550.98</v>
      </c>
      <c r="E22" s="158">
        <f t="shared" si="2"/>
        <v>0</v>
      </c>
      <c r="F22" s="297"/>
      <c r="G22" s="303">
        <v>42</v>
      </c>
      <c r="H22" s="303">
        <v>29</v>
      </c>
      <c r="I22" s="303">
        <v>7</v>
      </c>
      <c r="J22" s="303">
        <v>6</v>
      </c>
      <c r="K22" s="303"/>
      <c r="L22" s="303">
        <v>40</v>
      </c>
      <c r="M22" s="303">
        <v>22</v>
      </c>
      <c r="N22" s="303">
        <v>2</v>
      </c>
      <c r="O22" s="303"/>
      <c r="P22" s="303">
        <v>4</v>
      </c>
      <c r="Q22" s="303">
        <v>22</v>
      </c>
    </row>
    <row r="23" spans="1:17" s="52" customFormat="1" ht="15.75" x14ac:dyDescent="0.25">
      <c r="A23" s="210" t="s">
        <v>48</v>
      </c>
      <c r="B23" s="210"/>
      <c r="C23" s="211">
        <f>SUM(C13:C22)</f>
        <v>1213426.06</v>
      </c>
      <c r="D23" s="211">
        <f>SUM(D13:D22)</f>
        <v>780405.75</v>
      </c>
      <c r="E23" s="211">
        <f>SUM(E13:E22)</f>
        <v>433020.31</v>
      </c>
      <c r="F23" s="211">
        <f>F15+F18+F19+F21</f>
        <v>31218673</v>
      </c>
      <c r="G23" s="212">
        <f t="shared" ref="G23:L23" si="3">SUM(G13:G22)</f>
        <v>332</v>
      </c>
      <c r="H23" s="212">
        <f t="shared" si="3"/>
        <v>153</v>
      </c>
      <c r="I23" s="212">
        <f t="shared" si="3"/>
        <v>86</v>
      </c>
      <c r="J23" s="212">
        <f t="shared" si="3"/>
        <v>70</v>
      </c>
      <c r="K23" s="212">
        <f t="shared" si="3"/>
        <v>23</v>
      </c>
      <c r="L23" s="212">
        <f t="shared" si="3"/>
        <v>279</v>
      </c>
      <c r="M23" s="212">
        <f>SUM(M14:M22)</f>
        <v>115</v>
      </c>
      <c r="N23" s="212">
        <f>SUM(N13:N22)</f>
        <v>53</v>
      </c>
      <c r="O23" s="212">
        <f t="shared" ref="O23" si="4">SUM(O14:O21)</f>
        <v>55</v>
      </c>
      <c r="P23" s="212">
        <f>SUM(P13:P22)</f>
        <v>36</v>
      </c>
      <c r="Q23" s="212">
        <f>SUM(Q14:Q22)</f>
        <v>130</v>
      </c>
    </row>
    <row r="24" spans="1:17" hidden="1" x14ac:dyDescent="0.25">
      <c r="A24" s="213"/>
      <c r="B24" s="42"/>
      <c r="C24" s="135"/>
      <c r="D24" s="135"/>
      <c r="E24" s="135"/>
      <c r="F24" s="135"/>
      <c r="G24" s="43"/>
      <c r="H24" s="43"/>
      <c r="I24" s="43"/>
      <c r="J24" s="43"/>
      <c r="K24" s="43"/>
      <c r="L24" s="43"/>
      <c r="M24" s="43"/>
      <c r="N24" s="43"/>
      <c r="O24" s="43"/>
      <c r="P24" s="43"/>
      <c r="Q24" s="214"/>
    </row>
    <row r="25" spans="1:17" s="26" customFormat="1" ht="23.25" hidden="1" x14ac:dyDescent="0.25">
      <c r="A25" s="58" t="s">
        <v>49</v>
      </c>
      <c r="B25" s="59"/>
      <c r="C25" s="136"/>
      <c r="D25" s="136"/>
      <c r="E25" s="136"/>
      <c r="F25" s="136"/>
      <c r="G25" s="60"/>
      <c r="H25" s="60"/>
      <c r="I25" s="60"/>
      <c r="J25" s="60"/>
      <c r="K25" s="60"/>
      <c r="L25" s="60"/>
      <c r="M25" s="60"/>
      <c r="N25" s="60"/>
      <c r="O25" s="60"/>
      <c r="P25" s="60"/>
      <c r="Q25" s="61"/>
    </row>
    <row r="26" spans="1:17" s="52" customFormat="1" ht="15.75" hidden="1" x14ac:dyDescent="0.25">
      <c r="A26" s="64"/>
      <c r="B26" s="64"/>
      <c r="C26" s="130"/>
      <c r="D26" s="130"/>
      <c r="E26" s="130"/>
      <c r="F26" s="130"/>
      <c r="G26" s="67"/>
      <c r="H26" s="100"/>
      <c r="I26" s="100"/>
      <c r="J26" s="67"/>
      <c r="K26" s="100"/>
      <c r="L26" s="67"/>
      <c r="M26" s="67"/>
      <c r="N26" s="67"/>
      <c r="O26" s="67"/>
      <c r="P26" s="67"/>
      <c r="Q26" s="67"/>
    </row>
    <row r="27" spans="1:17" s="52" customFormat="1" ht="15.75" hidden="1" x14ac:dyDescent="0.25">
      <c r="A27" s="93" t="s">
        <v>50</v>
      </c>
      <c r="B27" s="93"/>
      <c r="C27" s="137">
        <f>SUM(C26:C26)</f>
        <v>0</v>
      </c>
      <c r="D27" s="137">
        <f>SUM(D26:D26)</f>
        <v>0</v>
      </c>
      <c r="E27" s="137"/>
      <c r="F27" s="137">
        <f t="shared" ref="F27:Q27" si="5">SUM(F26)</f>
        <v>0</v>
      </c>
      <c r="G27" s="101">
        <f t="shared" si="5"/>
        <v>0</v>
      </c>
      <c r="H27" s="129">
        <f>ROUND((SUM(H26)),0)</f>
        <v>0</v>
      </c>
      <c r="I27" s="101">
        <f t="shared" si="5"/>
        <v>0</v>
      </c>
      <c r="J27" s="101">
        <f t="shared" si="5"/>
        <v>0</v>
      </c>
      <c r="K27" s="101">
        <f t="shared" si="5"/>
        <v>0</v>
      </c>
      <c r="L27" s="101">
        <f t="shared" si="5"/>
        <v>0</v>
      </c>
      <c r="M27" s="101">
        <f t="shared" si="5"/>
        <v>0</v>
      </c>
      <c r="N27" s="101">
        <f t="shared" si="5"/>
        <v>0</v>
      </c>
      <c r="O27" s="101">
        <f t="shared" si="5"/>
        <v>0</v>
      </c>
      <c r="P27" s="101">
        <f t="shared" si="5"/>
        <v>0</v>
      </c>
      <c r="Q27" s="101">
        <f t="shared" si="5"/>
        <v>0</v>
      </c>
    </row>
    <row r="28" spans="1:17" hidden="1" x14ac:dyDescent="0.25">
      <c r="A28" s="213"/>
      <c r="B28" s="42"/>
      <c r="C28" s="44"/>
      <c r="D28" s="44"/>
      <c r="E28" s="44"/>
      <c r="F28" s="44"/>
      <c r="G28" s="43"/>
      <c r="H28" s="43"/>
      <c r="I28" s="43"/>
      <c r="J28" s="43"/>
      <c r="K28" s="43"/>
      <c r="L28" s="43"/>
      <c r="M28" s="43"/>
      <c r="N28" s="43"/>
      <c r="O28" s="43"/>
      <c r="P28" s="43"/>
      <c r="Q28" s="214"/>
    </row>
    <row r="29" spans="1:17" ht="23.25" x14ac:dyDescent="0.25">
      <c r="A29" s="222" t="s">
        <v>51</v>
      </c>
      <c r="B29" s="215"/>
      <c r="C29" s="216"/>
      <c r="D29" s="216"/>
      <c r="E29" s="216"/>
      <c r="F29" s="216"/>
      <c r="G29" s="217"/>
      <c r="H29" s="217"/>
      <c r="I29" s="217"/>
      <c r="J29" s="217"/>
      <c r="K29" s="217"/>
      <c r="L29" s="217"/>
      <c r="M29" s="217"/>
      <c r="N29" s="217"/>
      <c r="O29" s="217"/>
      <c r="P29" s="217"/>
      <c r="Q29" s="218"/>
    </row>
    <row r="30" spans="1:17" s="52" customFormat="1" ht="15.75" x14ac:dyDescent="0.25">
      <c r="A30" s="64" t="s">
        <v>52</v>
      </c>
      <c r="B30" s="64" t="s">
        <v>53</v>
      </c>
      <c r="C30" s="158">
        <f>104941.8+3859.2</f>
        <v>108801</v>
      </c>
      <c r="D30" s="158">
        <v>108801</v>
      </c>
      <c r="E30" s="201"/>
      <c r="F30" s="326"/>
      <c r="G30" s="327"/>
      <c r="H30" s="327"/>
      <c r="I30" s="327"/>
      <c r="J30" s="327"/>
      <c r="K30" s="327"/>
      <c r="L30" s="327"/>
      <c r="M30" s="327"/>
      <c r="N30" s="327"/>
      <c r="O30" s="327"/>
      <c r="P30" s="327"/>
      <c r="Q30" s="328"/>
    </row>
    <row r="31" spans="1:17" s="52" customFormat="1" ht="15.75" x14ac:dyDescent="0.25">
      <c r="A31" s="64"/>
      <c r="B31" s="64"/>
      <c r="C31" s="158"/>
      <c r="D31" s="158"/>
      <c r="E31" s="201"/>
      <c r="F31" s="326"/>
      <c r="G31" s="327"/>
      <c r="H31" s="327"/>
      <c r="I31" s="327"/>
      <c r="J31" s="327"/>
      <c r="K31" s="327"/>
      <c r="L31" s="327"/>
      <c r="M31" s="327"/>
      <c r="N31" s="327"/>
      <c r="O31" s="327"/>
      <c r="P31" s="327"/>
      <c r="Q31" s="328"/>
    </row>
    <row r="32" spans="1:17" s="52" customFormat="1" ht="15.75" x14ac:dyDescent="0.25">
      <c r="A32" s="219" t="s">
        <v>54</v>
      </c>
      <c r="B32" s="219"/>
      <c r="C32" s="220">
        <f>SUM(C30:C31)</f>
        <v>108801</v>
      </c>
      <c r="D32" s="220">
        <f>SUM(D30:D31)</f>
        <v>108801</v>
      </c>
      <c r="E32" s="221"/>
      <c r="F32" s="329"/>
      <c r="G32" s="330"/>
      <c r="H32" s="330"/>
      <c r="I32" s="330"/>
      <c r="J32" s="330"/>
      <c r="K32" s="330"/>
      <c r="L32" s="330"/>
      <c r="M32" s="330"/>
      <c r="N32" s="330"/>
      <c r="O32" s="330"/>
      <c r="P32" s="330"/>
      <c r="Q32" s="331"/>
    </row>
    <row r="33" spans="1:18" s="45" customFormat="1" x14ac:dyDescent="0.25">
      <c r="A33" s="234"/>
      <c r="B33" s="46"/>
      <c r="C33" s="165"/>
      <c r="D33" s="165"/>
      <c r="E33" s="165"/>
      <c r="F33" s="47"/>
      <c r="G33" s="48"/>
      <c r="H33" s="48"/>
      <c r="I33" s="48"/>
      <c r="J33" s="48"/>
      <c r="K33" s="48"/>
      <c r="L33" s="48"/>
      <c r="M33" s="48"/>
      <c r="N33" s="48"/>
      <c r="O33" s="48"/>
      <c r="P33" s="48"/>
      <c r="Q33" s="235"/>
    </row>
    <row r="34" spans="1:18" s="45" customFormat="1" ht="16.5" thickBot="1" x14ac:dyDescent="0.3">
      <c r="A34" s="236" t="s">
        <v>55</v>
      </c>
      <c r="B34" s="71"/>
      <c r="C34" s="166">
        <f t="shared" ref="C34:Q34" si="6">C6+C10+C23+C27+C32</f>
        <v>1322227.06</v>
      </c>
      <c r="D34" s="166">
        <f>D6+D10+D23+D27+D32</f>
        <v>889206.75</v>
      </c>
      <c r="E34" s="166">
        <f t="shared" si="6"/>
        <v>433020.31</v>
      </c>
      <c r="F34" s="166">
        <f t="shared" si="6"/>
        <v>31218673</v>
      </c>
      <c r="G34" s="127">
        <f t="shared" si="6"/>
        <v>332</v>
      </c>
      <c r="H34" s="102">
        <f t="shared" si="6"/>
        <v>153</v>
      </c>
      <c r="I34" s="102">
        <f t="shared" si="6"/>
        <v>86</v>
      </c>
      <c r="J34" s="102">
        <f t="shared" si="6"/>
        <v>70</v>
      </c>
      <c r="K34" s="102">
        <f t="shared" si="6"/>
        <v>23</v>
      </c>
      <c r="L34" s="102">
        <f t="shared" si="6"/>
        <v>279</v>
      </c>
      <c r="M34" s="127">
        <f t="shared" si="6"/>
        <v>115</v>
      </c>
      <c r="N34" s="102">
        <f t="shared" si="6"/>
        <v>53</v>
      </c>
      <c r="O34" s="102">
        <f t="shared" si="6"/>
        <v>55</v>
      </c>
      <c r="P34" s="102">
        <f t="shared" si="6"/>
        <v>36</v>
      </c>
      <c r="Q34" s="237">
        <f t="shared" si="6"/>
        <v>130</v>
      </c>
    </row>
    <row r="35" spans="1:18" s="45" customFormat="1" x14ac:dyDescent="0.25">
      <c r="A35" s="234"/>
      <c r="B35" s="46"/>
      <c r="C35" s="165"/>
      <c r="D35" s="165"/>
      <c r="E35" s="165"/>
      <c r="F35" s="47"/>
      <c r="G35" s="48"/>
      <c r="H35" s="48"/>
      <c r="I35" s="48"/>
      <c r="J35" s="48"/>
      <c r="K35" s="48"/>
      <c r="L35" s="48"/>
      <c r="M35" s="48"/>
      <c r="N35" s="48"/>
      <c r="O35" s="48"/>
      <c r="P35" s="48"/>
      <c r="Q35" s="235"/>
    </row>
    <row r="36" spans="1:18" s="52" customFormat="1" ht="15.75" x14ac:dyDescent="0.25">
      <c r="A36" s="238" t="s">
        <v>56</v>
      </c>
      <c r="B36" s="224"/>
      <c r="C36" s="225">
        <f>9388.12+9001+19296.35</f>
        <v>37685.47</v>
      </c>
      <c r="D36" s="225"/>
      <c r="E36" s="225">
        <f>SUM(C36:D36)</f>
        <v>37685.47</v>
      </c>
      <c r="F36" s="226"/>
      <c r="G36" s="223"/>
      <c r="H36" s="223"/>
      <c r="I36" s="223"/>
      <c r="J36" s="223"/>
      <c r="K36" s="223"/>
      <c r="L36" s="223"/>
      <c r="M36" s="223"/>
      <c r="N36" s="223"/>
      <c r="O36" s="223"/>
      <c r="P36" s="223"/>
      <c r="Q36" s="239"/>
    </row>
    <row r="37" spans="1:18" s="45" customFormat="1" x14ac:dyDescent="0.25">
      <c r="A37" s="240"/>
      <c r="B37" s="50"/>
      <c r="C37" s="167"/>
      <c r="D37" s="167"/>
      <c r="E37" s="167"/>
      <c r="F37" s="51"/>
      <c r="G37" s="49"/>
      <c r="H37" s="49"/>
      <c r="I37" s="49"/>
      <c r="J37" s="49"/>
      <c r="K37" s="49"/>
      <c r="L37" s="49"/>
      <c r="M37" s="49"/>
      <c r="N37" s="49"/>
      <c r="O37" s="49"/>
      <c r="P37" s="49"/>
      <c r="Q37" s="241"/>
    </row>
    <row r="38" spans="1:18" ht="16.5" thickBot="1" x14ac:dyDescent="0.3">
      <c r="A38" s="236" t="s">
        <v>57</v>
      </c>
      <c r="B38" s="71"/>
      <c r="C38" s="166">
        <f t="shared" ref="C38:Q38" si="7">C6+C10+C23+C27+C32+C36</f>
        <v>1359912.53</v>
      </c>
      <c r="D38" s="166">
        <f t="shared" si="7"/>
        <v>889206.75</v>
      </c>
      <c r="E38" s="166">
        <f t="shared" si="7"/>
        <v>470705.78</v>
      </c>
      <c r="F38" s="166">
        <f t="shared" si="7"/>
        <v>31218673</v>
      </c>
      <c r="G38" s="102">
        <f t="shared" si="7"/>
        <v>332</v>
      </c>
      <c r="H38" s="102">
        <f t="shared" si="7"/>
        <v>153</v>
      </c>
      <c r="I38" s="102">
        <f t="shared" si="7"/>
        <v>86</v>
      </c>
      <c r="J38" s="102">
        <f t="shared" si="7"/>
        <v>70</v>
      </c>
      <c r="K38" s="102">
        <f t="shared" si="7"/>
        <v>23</v>
      </c>
      <c r="L38" s="102">
        <f t="shared" si="7"/>
        <v>279</v>
      </c>
      <c r="M38" s="102">
        <f t="shared" si="7"/>
        <v>115</v>
      </c>
      <c r="N38" s="102">
        <f t="shared" si="7"/>
        <v>53</v>
      </c>
      <c r="O38" s="102">
        <f t="shared" si="7"/>
        <v>55</v>
      </c>
      <c r="P38" s="102">
        <f t="shared" si="7"/>
        <v>36</v>
      </c>
      <c r="Q38" s="237">
        <f t="shared" si="7"/>
        <v>130</v>
      </c>
    </row>
    <row r="39" spans="1:18" ht="16.5" thickBot="1" x14ac:dyDescent="0.3">
      <c r="A39" s="242"/>
      <c r="B39" s="142"/>
      <c r="C39" s="143"/>
      <c r="D39" s="143"/>
      <c r="E39" s="143"/>
      <c r="F39" s="143"/>
      <c r="G39" s="144"/>
      <c r="H39" s="144"/>
      <c r="I39" s="144"/>
      <c r="J39" s="144"/>
      <c r="K39" s="144"/>
      <c r="L39" s="144"/>
      <c r="M39" s="144"/>
      <c r="N39" s="144"/>
      <c r="O39" s="144"/>
      <c r="P39" s="144"/>
      <c r="Q39" s="243"/>
    </row>
    <row r="40" spans="1:18" s="23" customFormat="1" ht="32.25" thickBot="1" x14ac:dyDescent="0.3">
      <c r="A40" s="149" t="s">
        <v>58</v>
      </c>
      <c r="B40" s="150"/>
      <c r="C40" s="152"/>
      <c r="D40" s="152" t="s">
        <v>59</v>
      </c>
      <c r="E40" s="150"/>
      <c r="F40" s="150"/>
      <c r="G40" s="150"/>
      <c r="H40" s="150"/>
      <c r="I40" s="150"/>
      <c r="J40" s="150"/>
      <c r="K40" s="150"/>
      <c r="L40" s="150"/>
      <c r="M40" s="150"/>
      <c r="N40" s="150"/>
      <c r="O40" s="150"/>
      <c r="P40" s="150"/>
      <c r="Q40" s="151"/>
    </row>
    <row r="41" spans="1:18" ht="15.75" x14ac:dyDescent="0.25">
      <c r="A41" s="285" t="s">
        <v>60</v>
      </c>
      <c r="B41" s="286"/>
      <c r="C41" s="282">
        <f>D38-D32</f>
        <v>780405.75</v>
      </c>
      <c r="D41" s="282">
        <f>(D5+D13+D15+D26+D14+E44-J54+D18+D19+D20+D21+D22)</f>
        <v>780405.75</v>
      </c>
      <c r="E41" s="287"/>
      <c r="F41" s="288"/>
      <c r="G41" s="288"/>
      <c r="H41" s="288"/>
      <c r="I41" s="288"/>
      <c r="J41" s="288"/>
      <c r="K41" s="288"/>
      <c r="L41" s="288"/>
      <c r="M41" s="288"/>
      <c r="N41" s="288"/>
      <c r="O41" s="288"/>
      <c r="P41" s="288"/>
      <c r="Q41" s="289"/>
    </row>
    <row r="42" spans="1:18" ht="15.75" x14ac:dyDescent="0.25">
      <c r="A42" s="281" t="s">
        <v>61</v>
      </c>
      <c r="C42" s="284"/>
      <c r="D42" s="296">
        <v>-6028.18</v>
      </c>
      <c r="Q42" s="138"/>
    </row>
    <row r="43" spans="1:18" ht="16.5" thickBot="1" x14ac:dyDescent="0.3">
      <c r="A43" s="290" t="s">
        <v>62</v>
      </c>
      <c r="B43" s="291"/>
      <c r="C43" s="283">
        <f>SUM(C41:C42)</f>
        <v>780405.75</v>
      </c>
      <c r="D43" s="283">
        <f>SUM(D41:D42)</f>
        <v>774377.57</v>
      </c>
      <c r="E43" s="292"/>
      <c r="F43" s="293"/>
      <c r="G43" s="293"/>
      <c r="H43" s="293"/>
      <c r="I43" s="293"/>
      <c r="J43" s="293"/>
      <c r="K43" s="293"/>
      <c r="L43" s="293"/>
      <c r="M43" s="293"/>
      <c r="N43" s="293"/>
      <c r="O43" s="293"/>
      <c r="P43" s="293"/>
      <c r="Q43" s="294"/>
    </row>
    <row r="44" spans="1:18" x14ac:dyDescent="0.25">
      <c r="A44" s="1"/>
      <c r="B44" s="7"/>
      <c r="C44" s="204"/>
      <c r="D44" s="9"/>
    </row>
    <row r="45" spans="1:18" x14ac:dyDescent="0.25">
      <c r="A45" s="1"/>
      <c r="B45" s="7" t="s">
        <v>63</v>
      </c>
      <c r="C45" s="110">
        <f>D38/C38</f>
        <v>0.65387054710055503</v>
      </c>
      <c r="D45" s="9"/>
      <c r="F45" s="1">
        <f>1307224.5-1309056.63</f>
        <v>-1832.1299999998882</v>
      </c>
    </row>
    <row r="46" spans="1:18" x14ac:dyDescent="0.25">
      <c r="A46" s="1"/>
      <c r="B46" s="7" t="s">
        <v>64</v>
      </c>
      <c r="C46" s="111">
        <f>F38/D38</f>
        <v>35.108452561791729</v>
      </c>
      <c r="D46" s="9" t="s">
        <v>65</v>
      </c>
      <c r="E46" s="115"/>
    </row>
    <row r="47" spans="1:18" x14ac:dyDescent="0.25">
      <c r="A47" s="1"/>
      <c r="B47" s="7" t="s">
        <v>66</v>
      </c>
      <c r="C47" s="110">
        <f>D32/(E58+E59)</f>
        <v>0.19999987132479488</v>
      </c>
      <c r="D47" s="9"/>
    </row>
    <row r="48" spans="1:18" ht="15.75" thickBot="1" x14ac:dyDescent="0.3">
      <c r="A48" s="1"/>
      <c r="B48" s="10" t="s">
        <v>67</v>
      </c>
      <c r="C48" s="295">
        <f>D43/C43</f>
        <v>0.99227558228524071</v>
      </c>
      <c r="D48" s="12"/>
      <c r="I48" s="268">
        <f>(CDBG!D38+'CDBG-CV'!D29)/(CDBG!C38+'CDBG-CV'!C29)</f>
        <v>0.53848948956623843</v>
      </c>
      <c r="R48" s="115"/>
    </row>
    <row r="49" spans="1:18" x14ac:dyDescent="0.25">
      <c r="R49" s="115"/>
    </row>
    <row r="50" spans="1:18" s="2" customFormat="1" ht="30" x14ac:dyDescent="0.25">
      <c r="A50" s="14" t="s">
        <v>68</v>
      </c>
      <c r="B50" s="14" t="s">
        <v>3</v>
      </c>
      <c r="C50" s="14" t="s">
        <v>69</v>
      </c>
      <c r="D50" s="14" t="s">
        <v>70</v>
      </c>
      <c r="E50" s="14" t="s">
        <v>71</v>
      </c>
      <c r="F50" s="14" t="s">
        <v>72</v>
      </c>
      <c r="I50" s="15">
        <f>(D41+'CDBG-CV'!D32)/(CDBG!C41+'CDBG-CV'!C32)</f>
        <v>1</v>
      </c>
      <c r="P50" s="1"/>
      <c r="R50" s="15"/>
    </row>
    <row r="51" spans="1:18" x14ac:dyDescent="0.25">
      <c r="A51" s="244" t="s">
        <v>73</v>
      </c>
      <c r="B51" s="15">
        <f>C23</f>
        <v>1213426.06</v>
      </c>
      <c r="C51" s="15">
        <f>D23</f>
        <v>780405.75</v>
      </c>
      <c r="D51" s="16">
        <f>C51/B51</f>
        <v>0.64314240127659694</v>
      </c>
      <c r="E51" s="16">
        <f>B51/$B$54</f>
        <v>0.89228243231202531</v>
      </c>
      <c r="F51" s="16">
        <f>C51/$C$54</f>
        <v>0.87764262923105341</v>
      </c>
      <c r="H51" s="16"/>
      <c r="I51" s="24"/>
      <c r="M51" s="115"/>
      <c r="R51" s="115"/>
    </row>
    <row r="52" spans="1:18" ht="15.75" x14ac:dyDescent="0.25">
      <c r="A52" s="245" t="s">
        <v>74</v>
      </c>
      <c r="B52" s="15">
        <f>C32</f>
        <v>108801</v>
      </c>
      <c r="C52" s="15">
        <f>D32</f>
        <v>108801</v>
      </c>
      <c r="D52" s="16">
        <f>C52/B52</f>
        <v>1</v>
      </c>
      <c r="E52" s="16">
        <f>B52/$B$54</f>
        <v>8.0005880966476567E-2</v>
      </c>
      <c r="F52" s="16">
        <f>C52/$C$54</f>
        <v>0.12235737076894659</v>
      </c>
      <c r="I52" s="115"/>
      <c r="M52" s="177"/>
      <c r="N52" s="172"/>
      <c r="R52" s="115"/>
    </row>
    <row r="53" spans="1:18" x14ac:dyDescent="0.25">
      <c r="A53" s="13" t="s">
        <v>75</v>
      </c>
      <c r="B53" s="15">
        <f>C36</f>
        <v>37685.47</v>
      </c>
      <c r="C53" s="15"/>
      <c r="D53" s="16">
        <f>C53/B53</f>
        <v>0</v>
      </c>
      <c r="E53" s="16">
        <f>B53/$B$54</f>
        <v>2.7711686721498183E-2</v>
      </c>
      <c r="F53" s="16">
        <f>C53/$C$54</f>
        <v>0</v>
      </c>
      <c r="I53" s="115"/>
      <c r="J53" s="154"/>
      <c r="L53" s="115"/>
      <c r="R53" s="115"/>
    </row>
    <row r="54" spans="1:18" x14ac:dyDescent="0.25">
      <c r="A54" s="17"/>
      <c r="B54" s="18">
        <f>SUM(B51:B53)</f>
        <v>1359912.53</v>
      </c>
      <c r="C54" s="18">
        <f>SUM(C51:C53)</f>
        <v>889206.75</v>
      </c>
      <c r="D54" s="19" t="s">
        <v>76</v>
      </c>
      <c r="E54" s="19">
        <f>SUM(E51:E53)</f>
        <v>1</v>
      </c>
      <c r="F54" s="19">
        <f>SUM(F51:F53)</f>
        <v>1</v>
      </c>
      <c r="I54" s="174"/>
      <c r="J54" s="172"/>
      <c r="K54" s="175"/>
      <c r="L54" s="154"/>
      <c r="M54" s="154"/>
    </row>
    <row r="55" spans="1:18" x14ac:dyDescent="0.25">
      <c r="A55" s="1"/>
      <c r="C55" s="2"/>
    </row>
    <row r="56" spans="1:18" x14ac:dyDescent="0.25">
      <c r="A56" s="271" t="s">
        <v>77</v>
      </c>
      <c r="C56" s="2"/>
      <c r="D56" s="271" t="s">
        <v>78</v>
      </c>
      <c r="F56" s="272" t="s">
        <v>79</v>
      </c>
    </row>
    <row r="57" spans="1:18" x14ac:dyDescent="0.25">
      <c r="A57" s="1" t="s">
        <v>80</v>
      </c>
      <c r="B57" s="117">
        <v>519709</v>
      </c>
      <c r="C57" s="2"/>
      <c r="D57" s="20" t="s">
        <v>81</v>
      </c>
      <c r="E57" s="203">
        <f>B59</f>
        <v>815907.18</v>
      </c>
      <c r="F57" s="272" t="s">
        <v>82</v>
      </c>
      <c r="L57" s="117"/>
    </row>
    <row r="58" spans="1:18" x14ac:dyDescent="0.25">
      <c r="A58" s="1" t="s">
        <v>83</v>
      </c>
      <c r="B58" s="117">
        <v>5000</v>
      </c>
      <c r="C58" s="123"/>
      <c r="D58" s="20" t="s">
        <v>84</v>
      </c>
      <c r="E58" s="203">
        <f>B57</f>
        <v>519709</v>
      </c>
      <c r="F58" s="1" t="s">
        <v>85</v>
      </c>
      <c r="H58" s="126"/>
      <c r="L58" s="117"/>
    </row>
    <row r="59" spans="1:18" x14ac:dyDescent="0.25">
      <c r="A59" s="1" t="s">
        <v>86</v>
      </c>
      <c r="B59" s="117">
        <v>815907.18</v>
      </c>
      <c r="C59" s="109"/>
      <c r="D59" s="20" t="s">
        <v>87</v>
      </c>
      <c r="E59" s="117">
        <v>24296.35</v>
      </c>
      <c r="F59" s="1" t="s">
        <v>88</v>
      </c>
      <c r="L59" s="117"/>
    </row>
    <row r="60" spans="1:18" x14ac:dyDescent="0.25">
      <c r="A60" s="1" t="s">
        <v>89</v>
      </c>
      <c r="B60" s="203">
        <f>SUM(B57:B59)</f>
        <v>1340616.1800000002</v>
      </c>
      <c r="C60" s="109"/>
      <c r="D60" s="20" t="s">
        <v>90</v>
      </c>
      <c r="E60" s="117"/>
      <c r="F60" s="272" t="s">
        <v>91</v>
      </c>
      <c r="L60" s="126"/>
    </row>
    <row r="61" spans="1:18" x14ac:dyDescent="0.25">
      <c r="A61" s="1" t="s">
        <v>92</v>
      </c>
      <c r="B61" s="117">
        <f>B60-C38</f>
        <v>-19296.34999999986</v>
      </c>
      <c r="C61" s="109"/>
      <c r="D61" s="20" t="s">
        <v>93</v>
      </c>
      <c r="E61" s="203">
        <f>SUM(E57:E60)</f>
        <v>1359912.5300000003</v>
      </c>
      <c r="F61" s="1" t="s">
        <v>94</v>
      </c>
    </row>
    <row r="62" spans="1:18" x14ac:dyDescent="0.25">
      <c r="A62" s="1"/>
      <c r="C62" s="109"/>
      <c r="D62" s="20" t="s">
        <v>95</v>
      </c>
      <c r="E62" s="203">
        <f>-D38</f>
        <v>-889206.75</v>
      </c>
      <c r="F62" s="1" t="s">
        <v>96</v>
      </c>
      <c r="I62" s="126"/>
    </row>
    <row r="63" spans="1:18" ht="15.75" customHeight="1" x14ac:dyDescent="0.25">
      <c r="A63" s="116"/>
      <c r="B63" s="117"/>
      <c r="C63" s="109"/>
      <c r="D63" s="20" t="s">
        <v>97</v>
      </c>
      <c r="E63" s="275">
        <f>SUM(E61:E62)</f>
        <v>470705.78000000026</v>
      </c>
      <c r="F63" s="1" t="s">
        <v>98</v>
      </c>
    </row>
    <row r="64" spans="1:18" x14ac:dyDescent="0.25">
      <c r="A64" s="1" t="s">
        <v>99</v>
      </c>
      <c r="B64" s="269">
        <f>C34</f>
        <v>1322227.06</v>
      </c>
      <c r="C64" s="126"/>
      <c r="D64" s="20"/>
      <c r="E64" s="118"/>
      <c r="I64" s="126"/>
    </row>
    <row r="65" spans="1:7" x14ac:dyDescent="0.25">
      <c r="A65" s="1" t="s">
        <v>100</v>
      </c>
      <c r="B65" s="269">
        <f>C36</f>
        <v>37685.47</v>
      </c>
      <c r="D65" s="20"/>
      <c r="E65" s="118"/>
    </row>
    <row r="66" spans="1:7" x14ac:dyDescent="0.25">
      <c r="A66" s="1" t="s">
        <v>69</v>
      </c>
      <c r="B66" s="269">
        <f>D38</f>
        <v>889206.75</v>
      </c>
    </row>
    <row r="67" spans="1:7" x14ac:dyDescent="0.25">
      <c r="A67" s="1" t="s">
        <v>101</v>
      </c>
      <c r="B67" s="269">
        <f>B60-B66</f>
        <v>451409.43000000017</v>
      </c>
      <c r="D67" s="20"/>
      <c r="E67" s="118"/>
    </row>
    <row r="68" spans="1:7" x14ac:dyDescent="0.25">
      <c r="A68" s="1"/>
      <c r="C68" s="2"/>
      <c r="E68" s="126"/>
      <c r="G68" s="109"/>
    </row>
    <row r="69" spans="1:7" x14ac:dyDescent="0.25">
      <c r="A69" s="1"/>
      <c r="C69" s="2"/>
      <c r="G69" s="109"/>
    </row>
    <row r="70" spans="1:7" x14ac:dyDescent="0.25">
      <c r="A70" s="1"/>
      <c r="C70" s="2"/>
      <c r="D70" s="1" t="s">
        <v>102</v>
      </c>
    </row>
    <row r="71" spans="1:7" x14ac:dyDescent="0.25">
      <c r="A71" s="1" t="s">
        <v>103</v>
      </c>
      <c r="B71" s="2">
        <f>G38+HOME!G14</f>
        <v>332</v>
      </c>
      <c r="C71" s="113"/>
      <c r="D71" s="1">
        <f>L38+M38+N38+HOME!K14+HOME!L14+HOME!M14</f>
        <v>447</v>
      </c>
    </row>
    <row r="72" spans="1:7" x14ac:dyDescent="0.25">
      <c r="A72" s="1" t="s">
        <v>104</v>
      </c>
      <c r="B72" s="2">
        <f>M38+N38+HOME!L14+HOME!M14</f>
        <v>168</v>
      </c>
      <c r="C72" s="113">
        <f>B72/D71</f>
        <v>0.37583892617449666</v>
      </c>
    </row>
    <row r="73" spans="1:7" x14ac:dyDescent="0.25">
      <c r="A73" s="1" t="s">
        <v>17</v>
      </c>
      <c r="B73" s="2">
        <f>Q38+HOME!P14</f>
        <v>130</v>
      </c>
      <c r="C73" s="113">
        <f>B73/D71</f>
        <v>0.29082774049217003</v>
      </c>
    </row>
    <row r="74" spans="1:7" x14ac:dyDescent="0.25">
      <c r="A74" s="1" t="s">
        <v>16</v>
      </c>
      <c r="B74" s="2">
        <f>P38+HOME!O14</f>
        <v>36</v>
      </c>
      <c r="C74" s="113">
        <f>B74/D71</f>
        <v>8.0536912751677847E-2</v>
      </c>
    </row>
    <row r="75" spans="1:7" x14ac:dyDescent="0.25">
      <c r="A75" s="1" t="s">
        <v>105</v>
      </c>
      <c r="B75" s="2">
        <f>H38+HOME!H14</f>
        <v>153</v>
      </c>
      <c r="C75" s="113">
        <f>B75/$B$71</f>
        <v>0.46084337349397592</v>
      </c>
    </row>
    <row r="76" spans="1:7" x14ac:dyDescent="0.25">
      <c r="A76" s="1" t="s">
        <v>106</v>
      </c>
      <c r="B76" s="2">
        <f>I38+HOME!I14</f>
        <v>86</v>
      </c>
      <c r="C76" s="113">
        <f>B76/$B$71</f>
        <v>0.25903614457831325</v>
      </c>
    </row>
    <row r="77" spans="1:7" x14ac:dyDescent="0.25">
      <c r="A77" s="1" t="s">
        <v>107</v>
      </c>
      <c r="B77" s="2">
        <f>J38+HOME!J14</f>
        <v>70</v>
      </c>
      <c r="C77" s="113">
        <f>B77/$B$71</f>
        <v>0.21084337349397592</v>
      </c>
    </row>
    <row r="78" spans="1:7" x14ac:dyDescent="0.25">
      <c r="A78" s="1" t="s">
        <v>108</v>
      </c>
      <c r="B78" s="2">
        <f>K38</f>
        <v>23</v>
      </c>
      <c r="C78" s="2"/>
    </row>
    <row r="79" spans="1:7" x14ac:dyDescent="0.25">
      <c r="A79" s="332" t="s">
        <v>109</v>
      </c>
      <c r="C79" s="2"/>
    </row>
    <row r="80" spans="1:7" x14ac:dyDescent="0.25">
      <c r="A80" t="s">
        <v>110</v>
      </c>
      <c r="B80" s="125">
        <f>B59</f>
        <v>815907.18</v>
      </c>
      <c r="C80" s="2"/>
    </row>
    <row r="81" spans="1:5" x14ac:dyDescent="0.25">
      <c r="A81" s="20" t="s">
        <v>111</v>
      </c>
      <c r="B81" s="125">
        <f>B57</f>
        <v>519709</v>
      </c>
      <c r="C81" s="2"/>
    </row>
    <row r="82" spans="1:5" x14ac:dyDescent="0.25">
      <c r="A82" s="20" t="s">
        <v>112</v>
      </c>
      <c r="B82" s="125">
        <f>B58</f>
        <v>5000</v>
      </c>
      <c r="C82" s="2"/>
    </row>
    <row r="83" spans="1:5" x14ac:dyDescent="0.25">
      <c r="A83" s="20" t="s">
        <v>113</v>
      </c>
      <c r="B83" s="125">
        <f>B53</f>
        <v>37685.47</v>
      </c>
      <c r="C83" s="2"/>
    </row>
    <row r="84" spans="1:5" x14ac:dyDescent="0.25">
      <c r="A84" t="s">
        <v>114</v>
      </c>
      <c r="B84" s="125">
        <f>SUM(B80:B82)-B83</f>
        <v>1302930.7100000002</v>
      </c>
      <c r="C84" s="2"/>
    </row>
    <row r="85" spans="1:5" x14ac:dyDescent="0.25">
      <c r="A85" t="s">
        <v>69</v>
      </c>
      <c r="B85" s="125">
        <f>B66</f>
        <v>889206.75</v>
      </c>
      <c r="C85" s="2"/>
    </row>
    <row r="86" spans="1:5" x14ac:dyDescent="0.25">
      <c r="A86" s="20" t="s">
        <v>115</v>
      </c>
      <c r="B86" s="125">
        <f>B67</f>
        <v>451409.43000000017</v>
      </c>
      <c r="C86" s="2"/>
    </row>
    <row r="87" spans="1:5" x14ac:dyDescent="0.25">
      <c r="A87" s="124"/>
    </row>
    <row r="88" spans="1:5" x14ac:dyDescent="0.25">
      <c r="A88" s="333" t="s">
        <v>116</v>
      </c>
    </row>
    <row r="89" spans="1:5" x14ac:dyDescent="0.25">
      <c r="A89" t="s">
        <v>115</v>
      </c>
      <c r="B89" s="277">
        <f>B67</f>
        <v>451409.43000000017</v>
      </c>
    </row>
    <row r="90" spans="1:5" x14ac:dyDescent="0.25">
      <c r="A90" s="20" t="s">
        <v>117</v>
      </c>
      <c r="B90" s="276">
        <f>B57</f>
        <v>519709</v>
      </c>
    </row>
    <row r="91" spans="1:5" x14ac:dyDescent="0.25">
      <c r="A91" s="20" t="s">
        <v>118</v>
      </c>
      <c r="B91" s="277">
        <f>B58</f>
        <v>5000</v>
      </c>
      <c r="E91" s="196"/>
    </row>
    <row r="92" spans="1:5" x14ac:dyDescent="0.25">
      <c r="A92" s="20" t="s">
        <v>113</v>
      </c>
      <c r="B92" s="277">
        <f>B83</f>
        <v>37685.47</v>
      </c>
      <c r="E92" s="196"/>
    </row>
    <row r="93" spans="1:5" x14ac:dyDescent="0.25">
      <c r="A93" t="s">
        <v>119</v>
      </c>
      <c r="B93" s="277">
        <f>SUM(B89:B92)</f>
        <v>1013803.9000000001</v>
      </c>
    </row>
    <row r="94" spans="1:5" x14ac:dyDescent="0.25">
      <c r="A94" t="s">
        <v>120</v>
      </c>
      <c r="B94" s="276">
        <v>0</v>
      </c>
      <c r="E94" s="196"/>
    </row>
  </sheetData>
  <customSheetViews>
    <customSheetView guid="{94B3A4FE-72AA-482F-B8FA-1CCA2BB7CF1A}" scale="80" showPageBreaks="1" fitToPage="1" printArea="1">
      <pane ySplit="3" topLeftCell="A4" activePane="bottomLeft" state="frozen"/>
      <selection pane="bottomLeft" activeCell="A4" sqref="A4"/>
      <rowBreaks count="2" manualBreakCount="2">
        <brk id="16" max="16" man="1"/>
        <brk id="44" max="17" man="1"/>
      </rowBreaks>
      <pageMargins left="0" right="0" top="0" bottom="0" header="0" footer="0"/>
      <printOptions horizontalCentered="1"/>
      <pageSetup paperSize="5" scale="36" fitToHeight="2" orientation="landscape" r:id="rId1"/>
      <headerFooter>
        <oddHeader>&amp;C&amp;Z&amp;F</oddHeader>
      </headerFooter>
    </customSheetView>
    <customSheetView guid="{D6BA1E63-924C-47BE-9055-D8E8929EA3B0}" scale="80" showPageBreaks="1" fitToPage="1" printArea="1">
      <pane ySplit="3" topLeftCell="A4" activePane="bottomLeft" state="frozen"/>
      <selection pane="bottomLeft" activeCell="C20" sqref="C20"/>
      <rowBreaks count="2" manualBreakCount="2">
        <brk id="16" max="16" man="1"/>
        <brk id="49" max="17" man="1"/>
      </rowBreaks>
      <pageMargins left="0" right="0" top="0" bottom="0" header="0" footer="0"/>
      <printOptions horizontalCentered="1"/>
      <pageSetup paperSize="17" scale="45" fitToHeight="2" orientation="landscape" r:id="rId2"/>
      <headerFooter>
        <oddHeader>&amp;C&amp;Z&amp;F</oddHeader>
      </headerFooter>
    </customSheetView>
    <customSheetView guid="{85EA0921-5222-4866-B2A4-73FDFFB38684}" scale="80" showPageBreaks="1" fitToPage="1" printArea="1">
      <pane ySplit="3" topLeftCell="A16" activePane="bottomLeft" state="frozen"/>
      <selection pane="bottomLeft" activeCell="D22" sqref="D22"/>
      <rowBreaks count="2" manualBreakCount="2">
        <brk id="16" max="16" man="1"/>
        <brk id="44" max="17" man="1"/>
      </rowBreaks>
      <pageMargins left="0" right="0" top="0" bottom="0" header="0" footer="0"/>
      <printOptions horizontalCentered="1"/>
      <pageSetup paperSize="5" scale="36" fitToHeight="2" orientation="landscape" r:id="rId3"/>
      <headerFooter>
        <oddHeader>&amp;C&amp;Z&amp;F</oddHeader>
      </headerFooter>
    </customSheetView>
  </customSheetViews>
  <mergeCells count="3">
    <mergeCell ref="A1:Q1"/>
    <mergeCell ref="G9:Q9"/>
    <mergeCell ref="G13:Q13"/>
  </mergeCells>
  <printOptions horizontalCentered="1"/>
  <pageMargins left="0.45" right="0.45" top="0.5" bottom="0.5" header="0.3" footer="0.3"/>
  <pageSetup paperSize="17" scale="25" orientation="landscape" r:id="rId4"/>
  <headerFooter>
    <oddFooter>&amp;L&amp;9&amp;Z&amp;F&amp;R&amp;9&amp;D</oddFooter>
  </headerFooter>
  <rowBreaks count="1" manualBreakCount="1">
    <brk id="28" max="16383" man="1"/>
  </rowBreaks>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pageSetUpPr fitToPage="1"/>
  </sheetPr>
  <dimension ref="A1:B5"/>
  <sheetViews>
    <sheetView zoomScaleNormal="100" workbookViewId="0">
      <selection activeCell="B3" sqref="B3"/>
    </sheetView>
  </sheetViews>
  <sheetFormatPr defaultColWidth="8.85546875" defaultRowHeight="15" x14ac:dyDescent="0.25"/>
  <cols>
    <col min="1" max="1" width="21.28515625" bestFit="1" customWidth="1"/>
    <col min="2" max="2" width="10" bestFit="1" customWidth="1"/>
  </cols>
  <sheetData>
    <row r="1" spans="1:2" x14ac:dyDescent="0.25">
      <c r="A1" s="184" t="s">
        <v>212</v>
      </c>
      <c r="B1" s="198"/>
    </row>
    <row r="2" spans="1:2" x14ac:dyDescent="0.25">
      <c r="A2" s="184" t="s">
        <v>68</v>
      </c>
      <c r="B2" s="198" t="s">
        <v>146</v>
      </c>
    </row>
    <row r="3" spans="1:2" x14ac:dyDescent="0.25">
      <c r="A3" s="183" t="s">
        <v>73</v>
      </c>
      <c r="B3" s="198">
        <v>780405.75</v>
      </c>
    </row>
    <row r="4" spans="1:2" x14ac:dyDescent="0.25">
      <c r="A4" s="186" t="s">
        <v>74</v>
      </c>
      <c r="B4" s="199">
        <v>108801</v>
      </c>
    </row>
    <row r="5" spans="1:2" x14ac:dyDescent="0.25">
      <c r="A5" s="187" t="s">
        <v>55</v>
      </c>
      <c r="B5" s="200">
        <v>889206.75</v>
      </c>
    </row>
  </sheetData>
  <customSheetViews>
    <customSheetView guid="{94B3A4FE-72AA-482F-B8FA-1CCA2BB7CF1A}" showPageBreaks="1" fitToPage="1" view="pageLayout" topLeftCell="A4">
      <selection sqref="A1:Q76"/>
      <pageMargins left="0" right="0" top="0" bottom="0" header="0" footer="0"/>
      <pageSetup scale="79" fitToHeight="0" orientation="landscape" r:id="rId2"/>
      <headerFooter>
        <oddHeader>&amp;C&amp;Z&amp;F</oddHeader>
      </headerFooter>
    </customSheetView>
    <customSheetView guid="{D6BA1E63-924C-47BE-9055-D8E8929EA3B0}" showPageBreaks="1" fitToPage="1" view="pageLayout" topLeftCell="A4">
      <selection sqref="A1:Q76"/>
      <pageMargins left="0" right="0" top="0" bottom="0" header="0" footer="0"/>
      <pageSetup scale="80" fitToHeight="0" orientation="landscape" r:id="rId3"/>
      <headerFooter>
        <oddHeader>&amp;C&amp;Z&amp;F</oddHeader>
      </headerFooter>
    </customSheetView>
    <customSheetView guid="{85EA0921-5222-4866-B2A4-73FDFFB38684}" showPageBreaks="1" fitToPage="1" view="pageLayout" topLeftCell="A4">
      <selection sqref="A1:Q76"/>
      <pageMargins left="0" right="0" top="0" bottom="0" header="0" footer="0"/>
      <pageSetup scale="79" fitToHeight="0" orientation="landscape" r:id="rId4"/>
      <headerFooter>
        <oddHeader>&amp;C&amp;Z&amp;F</oddHeader>
      </headerFooter>
    </customSheetView>
  </customSheetViews>
  <pageMargins left="0.7" right="0.7" top="0.75" bottom="0.75" header="0.3" footer="0.3"/>
  <pageSetup scale="85" fitToHeight="0" orientation="landscape" r:id="rId5"/>
  <headerFooter>
    <oddFooter>&amp;L&amp;9&amp;Z&amp;F</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T86"/>
  <sheetViews>
    <sheetView zoomScale="70" zoomScaleNormal="70" zoomScaleSheetLayoutView="90" workbookViewId="0">
      <pane xSplit="2" ySplit="3" topLeftCell="C41" activePane="bottomRight" state="frozen"/>
      <selection pane="topRight" activeCell="C1" sqref="C1"/>
      <selection pane="bottomLeft" activeCell="A4" sqref="A4"/>
      <selection pane="bottomRight" activeCell="A79" sqref="A79"/>
    </sheetView>
  </sheetViews>
  <sheetFormatPr defaultColWidth="39" defaultRowHeight="15" x14ac:dyDescent="0.25"/>
  <cols>
    <col min="1" max="2" width="60.42578125" style="2" customWidth="1"/>
    <col min="3" max="3" width="17.42578125" style="1" customWidth="1"/>
    <col min="4" max="6" width="16.85546875" style="1" customWidth="1"/>
    <col min="7" max="10" width="12.7109375" style="1" customWidth="1"/>
    <col min="11" max="11" width="15.28515625" style="1" bestFit="1" customWidth="1"/>
    <col min="12" max="12" width="15" style="1" bestFit="1" customWidth="1"/>
    <col min="13" max="13" width="16.85546875" style="1" bestFit="1" customWidth="1"/>
    <col min="14" max="14" width="17.42578125" style="1" bestFit="1" customWidth="1"/>
    <col min="15" max="15" width="15" style="1" customWidth="1"/>
    <col min="16" max="16" width="15.42578125" style="1" customWidth="1"/>
    <col min="17" max="17" width="12.7109375" style="1" customWidth="1"/>
    <col min="18" max="18" width="30.7109375" style="1" hidden="1" customWidth="1"/>
    <col min="19" max="16384" width="39" style="1"/>
  </cols>
  <sheetData>
    <row r="1" spans="1:20" ht="26.25" x14ac:dyDescent="0.25">
      <c r="A1" s="343" t="s">
        <v>121</v>
      </c>
      <c r="B1" s="343"/>
      <c r="C1" s="343"/>
      <c r="D1" s="343"/>
      <c r="E1" s="343"/>
      <c r="F1" s="343"/>
      <c r="G1" s="343"/>
      <c r="H1" s="343"/>
      <c r="I1" s="343"/>
      <c r="J1" s="343"/>
      <c r="K1" s="343"/>
      <c r="L1" s="343"/>
      <c r="M1" s="343"/>
      <c r="N1" s="343"/>
      <c r="O1" s="343"/>
      <c r="P1" s="343"/>
      <c r="Q1" s="343"/>
      <c r="R1" s="343"/>
    </row>
    <row r="2" spans="1:20" ht="15.75" thickBot="1" x14ac:dyDescent="0.3"/>
    <row r="3" spans="1:20" s="23" customFormat="1" ht="63.75" thickBot="1" x14ac:dyDescent="0.3">
      <c r="A3" s="78" t="s">
        <v>1</v>
      </c>
      <c r="B3" s="78" t="s">
        <v>2</v>
      </c>
      <c r="C3" s="79" t="s">
        <v>3</v>
      </c>
      <c r="D3" s="79" t="s">
        <v>69</v>
      </c>
      <c r="E3" s="79" t="s">
        <v>5</v>
      </c>
      <c r="F3" s="79" t="s">
        <v>6</v>
      </c>
      <c r="G3" s="78" t="s">
        <v>7</v>
      </c>
      <c r="H3" s="78" t="s">
        <v>8</v>
      </c>
      <c r="I3" s="78" t="s">
        <v>9</v>
      </c>
      <c r="J3" s="78" t="s">
        <v>10</v>
      </c>
      <c r="K3" s="78" t="s">
        <v>11</v>
      </c>
      <c r="L3" s="78" t="s">
        <v>12</v>
      </c>
      <c r="M3" s="78" t="s">
        <v>13</v>
      </c>
      <c r="N3" s="78" t="s">
        <v>14</v>
      </c>
      <c r="O3" s="171" t="s">
        <v>15</v>
      </c>
      <c r="P3" s="78" t="s">
        <v>16</v>
      </c>
      <c r="Q3" s="80" t="s">
        <v>17</v>
      </c>
      <c r="R3" s="77"/>
    </row>
    <row r="4" spans="1:20" s="25" customFormat="1" ht="23.25" hidden="1" x14ac:dyDescent="0.25">
      <c r="A4" s="72" t="s">
        <v>18</v>
      </c>
      <c r="B4" s="73"/>
      <c r="C4" s="74"/>
      <c r="D4" s="74"/>
      <c r="E4" s="74"/>
      <c r="F4" s="74"/>
      <c r="G4" s="75"/>
      <c r="H4" s="75"/>
      <c r="I4" s="75"/>
      <c r="J4" s="75"/>
      <c r="K4" s="75"/>
      <c r="L4" s="75"/>
      <c r="M4" s="75"/>
      <c r="N4" s="75"/>
      <c r="O4" s="75"/>
      <c r="P4" s="75"/>
      <c r="Q4" s="76"/>
      <c r="R4" s="72"/>
    </row>
    <row r="5" spans="1:20" s="52" customFormat="1" ht="15.75" hidden="1" x14ac:dyDescent="0.25">
      <c r="A5" s="64"/>
      <c r="B5" s="155"/>
      <c r="C5" s="158"/>
      <c r="D5" s="158"/>
      <c r="E5" s="158"/>
      <c r="F5" s="163"/>
      <c r="G5" s="67"/>
      <c r="H5" s="67"/>
      <c r="I5" s="67"/>
      <c r="J5" s="67"/>
      <c r="K5" s="67"/>
      <c r="L5" s="67"/>
      <c r="M5" s="67"/>
      <c r="N5" s="67"/>
      <c r="O5" s="157"/>
      <c r="P5" s="157"/>
      <c r="Q5" s="67"/>
      <c r="R5" s="112"/>
    </row>
    <row r="6" spans="1:20" s="52" customFormat="1" ht="15.75" hidden="1" x14ac:dyDescent="0.25">
      <c r="A6" s="90" t="s">
        <v>19</v>
      </c>
      <c r="B6" s="90"/>
      <c r="C6" s="164">
        <f t="shared" ref="C6:Q6" si="0">SUM(C5:C5)</f>
        <v>0</v>
      </c>
      <c r="D6" s="164">
        <f t="shared" si="0"/>
        <v>0</v>
      </c>
      <c r="E6" s="164"/>
      <c r="F6" s="164">
        <f t="shared" si="0"/>
        <v>0</v>
      </c>
      <c r="G6" s="99">
        <f t="shared" si="0"/>
        <v>0</v>
      </c>
      <c r="H6" s="99">
        <f t="shared" si="0"/>
        <v>0</v>
      </c>
      <c r="I6" s="99">
        <f t="shared" si="0"/>
        <v>0</v>
      </c>
      <c r="J6" s="99">
        <f t="shared" si="0"/>
        <v>0</v>
      </c>
      <c r="K6" s="99">
        <f t="shared" si="0"/>
        <v>0</v>
      </c>
      <c r="L6" s="99">
        <f t="shared" si="0"/>
        <v>0</v>
      </c>
      <c r="M6" s="99">
        <f t="shared" si="0"/>
        <v>0</v>
      </c>
      <c r="N6" s="99">
        <f t="shared" si="0"/>
        <v>0</v>
      </c>
      <c r="O6" s="99">
        <f t="shared" si="0"/>
        <v>0</v>
      </c>
      <c r="P6" s="99">
        <f t="shared" si="0"/>
        <v>0</v>
      </c>
      <c r="Q6" s="99">
        <f t="shared" si="0"/>
        <v>0</v>
      </c>
      <c r="R6" s="89"/>
    </row>
    <row r="7" spans="1:20" hidden="1" x14ac:dyDescent="0.25">
      <c r="A7" s="39"/>
      <c r="B7" s="39"/>
      <c r="C7" s="131"/>
      <c r="D7" s="131"/>
      <c r="E7" s="131"/>
      <c r="F7" s="131"/>
      <c r="G7" s="40"/>
      <c r="H7" s="40"/>
      <c r="I7" s="40"/>
      <c r="J7" s="40"/>
      <c r="K7" s="40"/>
      <c r="L7" s="40"/>
      <c r="M7" s="40"/>
      <c r="N7" s="40"/>
      <c r="O7" s="40"/>
      <c r="P7" s="40"/>
      <c r="Q7" s="40"/>
      <c r="R7" s="38"/>
    </row>
    <row r="8" spans="1:20" s="25" customFormat="1" ht="23.25" hidden="1" x14ac:dyDescent="0.25">
      <c r="A8" s="53" t="s">
        <v>20</v>
      </c>
      <c r="B8" s="54"/>
      <c r="C8" s="132"/>
      <c r="D8" s="132"/>
      <c r="E8" s="132"/>
      <c r="F8" s="132"/>
      <c r="G8" s="55"/>
      <c r="H8" s="55"/>
      <c r="I8" s="55"/>
      <c r="J8" s="55"/>
      <c r="K8" s="55"/>
      <c r="L8" s="55"/>
      <c r="M8" s="55"/>
      <c r="N8" s="55"/>
      <c r="O8" s="55"/>
      <c r="P8" s="55"/>
      <c r="Q8" s="56"/>
      <c r="R8" s="53"/>
    </row>
    <row r="9" spans="1:20" s="52" customFormat="1" ht="15.75" hidden="1" x14ac:dyDescent="0.25">
      <c r="A9" s="64"/>
      <c r="B9" s="64"/>
      <c r="C9" s="130"/>
      <c r="D9" s="130"/>
      <c r="E9" s="130"/>
      <c r="F9" s="130"/>
      <c r="G9" s="344"/>
      <c r="H9" s="345"/>
      <c r="I9" s="345"/>
      <c r="J9" s="345"/>
      <c r="K9" s="345"/>
      <c r="L9" s="345"/>
      <c r="M9" s="345"/>
      <c r="N9" s="345"/>
      <c r="O9" s="345"/>
      <c r="P9" s="345"/>
      <c r="Q9" s="346"/>
      <c r="R9" s="112"/>
    </row>
    <row r="10" spans="1:20" s="52" customFormat="1" ht="15.75" hidden="1" x14ac:dyDescent="0.25">
      <c r="A10" s="87" t="s">
        <v>21</v>
      </c>
      <c r="B10" s="87"/>
      <c r="C10" s="133">
        <f>SUM(C9)</f>
        <v>0</v>
      </c>
      <c r="D10" s="133">
        <f>SUM(D9)</f>
        <v>0</v>
      </c>
      <c r="E10" s="133"/>
      <c r="F10" s="133">
        <f>SUM(F9)</f>
        <v>0</v>
      </c>
      <c r="G10" s="114">
        <f t="shared" ref="G10:N10" si="1">SUM(G9)</f>
        <v>0</v>
      </c>
      <c r="H10" s="114">
        <f t="shared" si="1"/>
        <v>0</v>
      </c>
      <c r="I10" s="114">
        <f t="shared" si="1"/>
        <v>0</v>
      </c>
      <c r="J10" s="114">
        <f t="shared" si="1"/>
        <v>0</v>
      </c>
      <c r="K10" s="114">
        <f t="shared" si="1"/>
        <v>0</v>
      </c>
      <c r="L10" s="114">
        <f t="shared" si="1"/>
        <v>0</v>
      </c>
      <c r="M10" s="114">
        <f t="shared" si="1"/>
        <v>0</v>
      </c>
      <c r="N10" s="114">
        <f t="shared" si="1"/>
        <v>0</v>
      </c>
      <c r="O10" s="114"/>
      <c r="P10" s="114"/>
      <c r="Q10" s="114"/>
      <c r="R10" s="88"/>
    </row>
    <row r="11" spans="1:20" hidden="1" x14ac:dyDescent="0.25">
      <c r="A11" s="36"/>
      <c r="B11" s="36"/>
      <c r="C11" s="134"/>
      <c r="D11" s="134"/>
      <c r="E11" s="134"/>
      <c r="F11" s="134"/>
      <c r="G11" s="37"/>
      <c r="H11" s="37"/>
      <c r="I11" s="37"/>
      <c r="J11" s="37"/>
      <c r="K11" s="37"/>
      <c r="L11" s="37"/>
      <c r="M11" s="37"/>
      <c r="N11" s="37"/>
      <c r="O11" s="37"/>
      <c r="P11" s="37"/>
      <c r="Q11" s="37"/>
      <c r="R11" s="35"/>
    </row>
    <row r="12" spans="1:20" s="26" customFormat="1" ht="23.25" x14ac:dyDescent="0.25">
      <c r="A12" s="246" t="s">
        <v>22</v>
      </c>
      <c r="B12" s="247"/>
      <c r="C12" s="248"/>
      <c r="D12" s="248"/>
      <c r="E12" s="248"/>
      <c r="F12" s="248"/>
      <c r="G12" s="249"/>
      <c r="H12" s="249"/>
      <c r="I12" s="249"/>
      <c r="J12" s="249"/>
      <c r="K12" s="249"/>
      <c r="L12" s="249"/>
      <c r="M12" s="249"/>
      <c r="N12" s="249"/>
      <c r="O12" s="249"/>
      <c r="P12" s="249"/>
      <c r="Q12" s="250"/>
      <c r="R12" s="57" t="s">
        <v>22</v>
      </c>
    </row>
    <row r="13" spans="1:20" s="52" customFormat="1" ht="126" x14ac:dyDescent="0.25">
      <c r="A13" s="64" t="s">
        <v>122</v>
      </c>
      <c r="B13" s="300" t="s">
        <v>123</v>
      </c>
      <c r="C13" s="158">
        <v>272573</v>
      </c>
      <c r="D13" s="158">
        <v>0</v>
      </c>
      <c r="E13" s="158">
        <f>C13-D13</f>
        <v>272573</v>
      </c>
      <c r="F13" s="301">
        <v>0</v>
      </c>
      <c r="G13" s="357" t="s">
        <v>124</v>
      </c>
      <c r="H13" s="358"/>
      <c r="I13" s="358"/>
      <c r="J13" s="358"/>
      <c r="K13" s="358"/>
      <c r="L13" s="358"/>
      <c r="M13" s="358"/>
      <c r="N13" s="358"/>
      <c r="O13" s="358"/>
      <c r="P13" s="358"/>
      <c r="Q13" s="359"/>
      <c r="R13" s="324"/>
      <c r="S13" s="197"/>
      <c r="T13" s="195"/>
    </row>
    <row r="14" spans="1:20" s="52" customFormat="1" ht="94.5" x14ac:dyDescent="0.25">
      <c r="A14" s="300" t="s">
        <v>46</v>
      </c>
      <c r="B14" s="300" t="s">
        <v>125</v>
      </c>
      <c r="C14" s="158">
        <f>495447.62-272573+320.06</f>
        <v>223194.68</v>
      </c>
      <c r="D14" s="158">
        <v>151777.17000000001</v>
      </c>
      <c r="E14" s="158">
        <f>C14-D14</f>
        <v>71417.50999999998</v>
      </c>
      <c r="F14" s="301">
        <v>0</v>
      </c>
      <c r="G14" s="303">
        <v>127</v>
      </c>
      <c r="H14" s="303">
        <v>89</v>
      </c>
      <c r="I14" s="303">
        <v>29</v>
      </c>
      <c r="J14" s="303">
        <v>9</v>
      </c>
      <c r="K14" s="303">
        <v>0</v>
      </c>
      <c r="L14" s="303">
        <v>117</v>
      </c>
      <c r="M14" s="303">
        <v>66</v>
      </c>
      <c r="N14" s="303">
        <v>10</v>
      </c>
      <c r="O14" s="303"/>
      <c r="P14" s="303">
        <v>23</v>
      </c>
      <c r="Q14" s="303">
        <v>87</v>
      </c>
      <c r="R14" s="182"/>
    </row>
    <row r="15" spans="1:20" s="52" customFormat="1" ht="15.75" x14ac:dyDescent="0.25">
      <c r="A15" s="251" t="s">
        <v>48</v>
      </c>
      <c r="B15" s="251"/>
      <c r="C15" s="252">
        <f>SUM(C13:C14)</f>
        <v>495767.68</v>
      </c>
      <c r="D15" s="252">
        <f>SUM(D13:D14)</f>
        <v>151777.17000000001</v>
      </c>
      <c r="E15" s="253">
        <f>SUM(E13:E14)</f>
        <v>343990.51</v>
      </c>
      <c r="F15" s="252">
        <f t="shared" ref="F15:O15" si="2">SUM(F13:F13)</f>
        <v>0</v>
      </c>
      <c r="G15" s="254">
        <f t="shared" ref="G15:N15" si="3">SUM(G14)</f>
        <v>127</v>
      </c>
      <c r="H15" s="254">
        <f t="shared" si="3"/>
        <v>89</v>
      </c>
      <c r="I15" s="254">
        <f t="shared" si="3"/>
        <v>29</v>
      </c>
      <c r="J15" s="254">
        <f t="shared" si="3"/>
        <v>9</v>
      </c>
      <c r="K15" s="254">
        <f t="shared" si="3"/>
        <v>0</v>
      </c>
      <c r="L15" s="254">
        <f t="shared" si="3"/>
        <v>117</v>
      </c>
      <c r="M15" s="254">
        <f t="shared" si="3"/>
        <v>66</v>
      </c>
      <c r="N15" s="254">
        <f t="shared" si="3"/>
        <v>10</v>
      </c>
      <c r="O15" s="254">
        <f t="shared" si="2"/>
        <v>0</v>
      </c>
      <c r="P15" s="254">
        <f>SUM(P14)</f>
        <v>23</v>
      </c>
      <c r="Q15" s="254">
        <f>SUM(Q14)</f>
        <v>87</v>
      </c>
      <c r="R15" s="91"/>
    </row>
    <row r="16" spans="1:20" hidden="1" x14ac:dyDescent="0.25">
      <c r="A16" s="42"/>
      <c r="B16" s="42"/>
      <c r="C16" s="135"/>
      <c r="D16" s="135"/>
      <c r="E16" s="135"/>
      <c r="F16" s="135"/>
      <c r="G16" s="43"/>
      <c r="H16" s="43"/>
      <c r="I16" s="43"/>
      <c r="J16" s="43"/>
      <c r="K16" s="43"/>
      <c r="L16" s="43"/>
      <c r="M16" s="43"/>
      <c r="N16" s="43"/>
      <c r="O16" s="43"/>
      <c r="P16" s="43"/>
      <c r="Q16" s="43"/>
      <c r="R16" s="35"/>
    </row>
    <row r="17" spans="1:18" s="26" customFormat="1" ht="23.25" hidden="1" x14ac:dyDescent="0.25">
      <c r="A17" s="58" t="s">
        <v>49</v>
      </c>
      <c r="B17" s="59"/>
      <c r="C17" s="136"/>
      <c r="D17" s="136"/>
      <c r="E17" s="136"/>
      <c r="F17" s="136"/>
      <c r="G17" s="60"/>
      <c r="H17" s="60"/>
      <c r="I17" s="60"/>
      <c r="J17" s="60"/>
      <c r="K17" s="60"/>
      <c r="L17" s="60"/>
      <c r="M17" s="60"/>
      <c r="N17" s="60"/>
      <c r="O17" s="60"/>
      <c r="P17" s="60"/>
      <c r="Q17" s="61"/>
      <c r="R17" s="58"/>
    </row>
    <row r="18" spans="1:18" s="52" customFormat="1" ht="15.75" hidden="1" x14ac:dyDescent="0.25">
      <c r="A18" s="64"/>
      <c r="B18" s="64"/>
      <c r="C18" s="130"/>
      <c r="D18" s="130"/>
      <c r="E18" s="130"/>
      <c r="F18" s="130"/>
      <c r="G18" s="67"/>
      <c r="H18" s="100"/>
      <c r="I18" s="100"/>
      <c r="J18" s="67"/>
      <c r="K18" s="100"/>
      <c r="L18" s="67"/>
      <c r="M18" s="67"/>
      <c r="N18" s="67"/>
      <c r="O18" s="67"/>
      <c r="P18" s="67"/>
      <c r="Q18" s="67"/>
      <c r="R18" s="153"/>
    </row>
    <row r="19" spans="1:18" s="52" customFormat="1" ht="15.75" hidden="1" x14ac:dyDescent="0.25">
      <c r="A19" s="93" t="s">
        <v>50</v>
      </c>
      <c r="B19" s="93"/>
      <c r="C19" s="137">
        <f>SUM(C18:C18)</f>
        <v>0</v>
      </c>
      <c r="D19" s="137">
        <f>SUM(D18:D18)</f>
        <v>0</v>
      </c>
      <c r="E19" s="137"/>
      <c r="F19" s="137">
        <f t="shared" ref="F19:Q19" si="4">SUM(F18)</f>
        <v>0</v>
      </c>
      <c r="G19" s="101">
        <f t="shared" si="4"/>
        <v>0</v>
      </c>
      <c r="H19" s="129">
        <f>ROUND((SUM(H18)),0)</f>
        <v>0</v>
      </c>
      <c r="I19" s="101">
        <f t="shared" si="4"/>
        <v>0</v>
      </c>
      <c r="J19" s="101">
        <f t="shared" si="4"/>
        <v>0</v>
      </c>
      <c r="K19" s="101">
        <f t="shared" si="4"/>
        <v>0</v>
      </c>
      <c r="L19" s="101">
        <f t="shared" si="4"/>
        <v>0</v>
      </c>
      <c r="M19" s="101">
        <f t="shared" si="4"/>
        <v>0</v>
      </c>
      <c r="N19" s="101">
        <f t="shared" si="4"/>
        <v>0</v>
      </c>
      <c r="O19" s="101">
        <f t="shared" si="4"/>
        <v>0</v>
      </c>
      <c r="P19" s="101">
        <f t="shared" si="4"/>
        <v>0</v>
      </c>
      <c r="Q19" s="101">
        <f t="shared" si="4"/>
        <v>0</v>
      </c>
      <c r="R19" s="92"/>
    </row>
    <row r="20" spans="1:18" hidden="1" x14ac:dyDescent="0.25">
      <c r="A20" s="42"/>
      <c r="B20" s="42"/>
      <c r="C20" s="44"/>
      <c r="D20" s="44"/>
      <c r="E20" s="44"/>
      <c r="F20" s="44"/>
      <c r="G20" s="43"/>
      <c r="H20" s="43"/>
      <c r="I20" s="43"/>
      <c r="J20" s="43"/>
      <c r="K20" s="43"/>
      <c r="L20" s="43"/>
      <c r="M20" s="43"/>
      <c r="N20" s="43"/>
      <c r="O20" s="43"/>
      <c r="P20" s="43"/>
      <c r="Q20" s="43"/>
      <c r="R20" s="35"/>
    </row>
    <row r="21" spans="1:18" x14ac:dyDescent="0.25">
      <c r="A21" s="215"/>
      <c r="B21" s="215"/>
      <c r="C21" s="216"/>
      <c r="D21" s="216"/>
      <c r="E21" s="216"/>
      <c r="F21" s="216"/>
      <c r="G21" s="217"/>
      <c r="H21" s="217"/>
      <c r="I21" s="217"/>
      <c r="J21" s="217"/>
      <c r="K21" s="217"/>
      <c r="L21" s="217"/>
      <c r="M21" s="217"/>
      <c r="N21" s="217"/>
      <c r="O21" s="217"/>
      <c r="P21" s="217"/>
      <c r="Q21" s="218"/>
      <c r="R21" s="62"/>
    </row>
    <row r="22" spans="1:18" s="52" customFormat="1" ht="15.75" x14ac:dyDescent="0.25">
      <c r="A22" s="64" t="s">
        <v>52</v>
      </c>
      <c r="B22" s="64" t="s">
        <v>53</v>
      </c>
      <c r="C22" s="158">
        <f>102657.14</f>
        <v>102657.14</v>
      </c>
      <c r="D22" s="158">
        <v>13560.16</v>
      </c>
      <c r="E22" s="158">
        <f>C22-D22</f>
        <v>89096.98</v>
      </c>
      <c r="F22" s="351"/>
      <c r="G22" s="352"/>
      <c r="H22" s="352"/>
      <c r="I22" s="352"/>
      <c r="J22" s="352"/>
      <c r="K22" s="352"/>
      <c r="L22" s="352"/>
      <c r="M22" s="352"/>
      <c r="N22" s="352"/>
      <c r="O22" s="352"/>
      <c r="P22" s="352"/>
      <c r="Q22" s="353"/>
      <c r="R22" s="63"/>
    </row>
    <row r="23" spans="1:18" s="52" customFormat="1" ht="15.75" x14ac:dyDescent="0.25">
      <c r="A23" s="219" t="s">
        <v>54</v>
      </c>
      <c r="B23" s="219"/>
      <c r="C23" s="220">
        <f>SUM(C22:C22)</f>
        <v>102657.14</v>
      </c>
      <c r="D23" s="220">
        <f>SUM(D22:D22)</f>
        <v>13560.16</v>
      </c>
      <c r="E23" s="255">
        <f>C23-D23</f>
        <v>89096.98</v>
      </c>
      <c r="F23" s="354"/>
      <c r="G23" s="355"/>
      <c r="H23" s="355"/>
      <c r="I23" s="355"/>
      <c r="J23" s="355"/>
      <c r="K23" s="355"/>
      <c r="L23" s="355"/>
      <c r="M23" s="355"/>
      <c r="N23" s="355"/>
      <c r="O23" s="355"/>
      <c r="P23" s="355"/>
      <c r="Q23" s="356"/>
      <c r="R23" s="94"/>
    </row>
    <row r="24" spans="1:18" s="45" customFormat="1" x14ac:dyDescent="0.25">
      <c r="A24" s="46"/>
      <c r="B24" s="46"/>
      <c r="C24" s="165"/>
      <c r="D24" s="165"/>
      <c r="E24" s="165"/>
      <c r="F24" s="47"/>
      <c r="G24" s="48"/>
      <c r="H24" s="48"/>
      <c r="I24" s="48"/>
      <c r="J24" s="48"/>
      <c r="K24" s="48"/>
      <c r="L24" s="48"/>
      <c r="M24" s="48"/>
      <c r="N24" s="48"/>
      <c r="O24" s="48"/>
      <c r="P24" s="48"/>
      <c r="Q24" s="48"/>
    </row>
    <row r="25" spans="1:18" s="45" customFormat="1" ht="16.5" thickBot="1" x14ac:dyDescent="0.3">
      <c r="A25" s="70" t="s">
        <v>55</v>
      </c>
      <c r="B25" s="71"/>
      <c r="C25" s="166">
        <f>C6+C10+C15+C19+C23</f>
        <v>598424.81999999995</v>
      </c>
      <c r="D25" s="166">
        <f>D6+D10+D15+D19+D23</f>
        <v>165337.33000000002</v>
      </c>
      <c r="E25" s="166">
        <f>C25-D25</f>
        <v>433087.48999999993</v>
      </c>
      <c r="F25" s="166">
        <f t="shared" ref="F25:Q25" si="5">F6+F10+F15+F19+F23</f>
        <v>0</v>
      </c>
      <c r="G25" s="127">
        <f t="shared" si="5"/>
        <v>127</v>
      </c>
      <c r="H25" s="102">
        <f t="shared" si="5"/>
        <v>89</v>
      </c>
      <c r="I25" s="102">
        <f t="shared" si="5"/>
        <v>29</v>
      </c>
      <c r="J25" s="102">
        <f t="shared" si="5"/>
        <v>9</v>
      </c>
      <c r="K25" s="102">
        <f t="shared" si="5"/>
        <v>0</v>
      </c>
      <c r="L25" s="102">
        <f t="shared" si="5"/>
        <v>117</v>
      </c>
      <c r="M25" s="127">
        <f t="shared" si="5"/>
        <v>66</v>
      </c>
      <c r="N25" s="102">
        <f t="shared" si="5"/>
        <v>10</v>
      </c>
      <c r="O25" s="102">
        <f t="shared" si="5"/>
        <v>0</v>
      </c>
      <c r="P25" s="102">
        <f t="shared" si="5"/>
        <v>23</v>
      </c>
      <c r="Q25" s="102">
        <f t="shared" si="5"/>
        <v>87</v>
      </c>
      <c r="R25" s="70"/>
    </row>
    <row r="26" spans="1:18" s="45" customFormat="1" x14ac:dyDescent="0.25">
      <c r="A26" s="46"/>
      <c r="B26" s="46"/>
      <c r="C26" s="165"/>
      <c r="D26" s="165"/>
      <c r="E26" s="165"/>
      <c r="F26" s="47"/>
      <c r="G26" s="48"/>
      <c r="H26" s="48"/>
      <c r="I26" s="48"/>
      <c r="J26" s="48"/>
      <c r="K26" s="48"/>
      <c r="L26" s="48"/>
      <c r="M26" s="48"/>
      <c r="N26" s="48"/>
      <c r="O26" s="48"/>
      <c r="P26" s="48"/>
      <c r="Q26" s="48"/>
    </row>
    <row r="27" spans="1:18" s="52" customFormat="1" ht="15.75" x14ac:dyDescent="0.25">
      <c r="A27" s="223" t="s">
        <v>126</v>
      </c>
      <c r="B27" s="224"/>
      <c r="C27" s="225"/>
      <c r="D27" s="225"/>
      <c r="E27" s="225"/>
      <c r="F27" s="226"/>
      <c r="G27" s="223"/>
      <c r="H27" s="223"/>
      <c r="I27" s="223"/>
      <c r="J27" s="223"/>
      <c r="K27" s="223"/>
      <c r="L27" s="223"/>
      <c r="M27" s="223"/>
      <c r="N27" s="223"/>
      <c r="O27" s="223"/>
      <c r="P27" s="223"/>
      <c r="Q27" s="223"/>
      <c r="R27" s="108"/>
    </row>
    <row r="28" spans="1:18" s="45" customFormat="1" x14ac:dyDescent="0.25">
      <c r="A28" s="50"/>
      <c r="B28" s="50"/>
      <c r="C28" s="167"/>
      <c r="D28" s="167"/>
      <c r="E28" s="167"/>
      <c r="F28" s="51"/>
      <c r="G28" s="49"/>
      <c r="H28" s="49"/>
      <c r="I28" s="49"/>
      <c r="J28" s="49"/>
      <c r="K28" s="49"/>
      <c r="L28" s="49"/>
      <c r="M28" s="49"/>
      <c r="N28" s="49"/>
      <c r="O28" s="49"/>
      <c r="P28" s="49"/>
      <c r="Q28" s="49"/>
      <c r="R28" s="49"/>
    </row>
    <row r="29" spans="1:18" ht="16.5" thickBot="1" x14ac:dyDescent="0.3">
      <c r="A29" s="70" t="s">
        <v>57</v>
      </c>
      <c r="B29" s="71"/>
      <c r="C29" s="166">
        <f>C6+C10+C15+C19+C23+C27</f>
        <v>598424.81999999995</v>
      </c>
      <c r="D29" s="166">
        <f>D6+D10+D15+D19+D23+D27</f>
        <v>165337.33000000002</v>
      </c>
      <c r="E29" s="166">
        <f>C29-D29</f>
        <v>433087.48999999993</v>
      </c>
      <c r="F29" s="166">
        <f t="shared" ref="F29:Q29" si="6">F6+F10+F15+F19+F23+F27</f>
        <v>0</v>
      </c>
      <c r="G29" s="102">
        <f t="shared" si="6"/>
        <v>127</v>
      </c>
      <c r="H29" s="102">
        <f t="shared" si="6"/>
        <v>89</v>
      </c>
      <c r="I29" s="102">
        <f t="shared" si="6"/>
        <v>29</v>
      </c>
      <c r="J29" s="102">
        <f t="shared" si="6"/>
        <v>9</v>
      </c>
      <c r="K29" s="102">
        <f t="shared" si="6"/>
        <v>0</v>
      </c>
      <c r="L29" s="102">
        <f t="shared" si="6"/>
        <v>117</v>
      </c>
      <c r="M29" s="102">
        <f t="shared" si="6"/>
        <v>66</v>
      </c>
      <c r="N29" s="102">
        <f t="shared" si="6"/>
        <v>10</v>
      </c>
      <c r="O29" s="102">
        <f t="shared" si="6"/>
        <v>0</v>
      </c>
      <c r="P29" s="102">
        <f t="shared" si="6"/>
        <v>23</v>
      </c>
      <c r="Q29" s="102">
        <f t="shared" si="6"/>
        <v>87</v>
      </c>
      <c r="R29" s="70"/>
    </row>
    <row r="30" spans="1:18" ht="16.5" thickBot="1" x14ac:dyDescent="0.3">
      <c r="A30" s="141"/>
      <c r="B30" s="142"/>
      <c r="C30" s="165"/>
      <c r="D30" s="165"/>
      <c r="E30" s="165"/>
      <c r="F30" s="165"/>
      <c r="G30" s="165"/>
      <c r="H30" s="165"/>
      <c r="I30" s="165"/>
      <c r="J30" s="165"/>
      <c r="K30" s="165"/>
      <c r="L30" s="165"/>
      <c r="M30" s="165"/>
      <c r="N30" s="165"/>
      <c r="O30" s="165"/>
      <c r="P30" s="165"/>
      <c r="Q30" s="165"/>
      <c r="R30" s="141"/>
    </row>
    <row r="31" spans="1:18" s="23" customFormat="1" ht="79.5" thickBot="1" x14ac:dyDescent="0.3">
      <c r="A31" s="149" t="s">
        <v>58</v>
      </c>
      <c r="B31" s="150"/>
      <c r="C31" s="152" t="s">
        <v>127</v>
      </c>
      <c r="D31" s="152" t="s">
        <v>59</v>
      </c>
      <c r="E31" s="152"/>
      <c r="F31" s="150"/>
      <c r="G31" s="150"/>
      <c r="H31" s="150"/>
      <c r="I31" s="150"/>
      <c r="J31" s="150"/>
      <c r="K31" s="150"/>
      <c r="L31" s="150"/>
      <c r="M31" s="150"/>
      <c r="N31" s="150"/>
      <c r="O31" s="150"/>
      <c r="P31" s="150"/>
      <c r="Q31" s="150"/>
      <c r="R31" s="151"/>
    </row>
    <row r="32" spans="1:18" ht="16.5" thickBot="1" x14ac:dyDescent="0.3">
      <c r="A32" s="141" t="s">
        <v>128</v>
      </c>
      <c r="B32" s="142"/>
      <c r="C32" s="168">
        <f>D29-D23</f>
        <v>151777.17000000001</v>
      </c>
      <c r="D32" s="168">
        <f>C32</f>
        <v>151777.17000000001</v>
      </c>
      <c r="E32" s="168"/>
      <c r="F32" s="143"/>
      <c r="G32" s="144"/>
      <c r="H32" s="144"/>
      <c r="I32" s="144"/>
      <c r="J32" s="144"/>
      <c r="K32" s="144"/>
      <c r="L32" s="144"/>
      <c r="M32" s="144"/>
      <c r="N32" s="144"/>
      <c r="O32" s="144"/>
      <c r="P32" s="144"/>
      <c r="Q32" s="144"/>
      <c r="R32" s="141"/>
    </row>
    <row r="34" spans="1:18" ht="16.5" thickBot="1" x14ac:dyDescent="0.3">
      <c r="A34" s="141"/>
      <c r="B34" s="142"/>
      <c r="C34" s="143"/>
      <c r="D34" s="143"/>
      <c r="E34" s="143"/>
      <c r="F34" s="143"/>
      <c r="G34" s="144"/>
      <c r="H34" s="144"/>
      <c r="I34" s="144"/>
      <c r="J34" s="144"/>
      <c r="K34" s="144"/>
      <c r="L34" s="144"/>
      <c r="M34" s="144"/>
      <c r="N34" s="144"/>
      <c r="O34" s="144"/>
      <c r="P34" s="144"/>
      <c r="Q34" s="144"/>
      <c r="R34" s="141"/>
    </row>
    <row r="35" spans="1:18" x14ac:dyDescent="0.25">
      <c r="A35" s="1"/>
      <c r="B35" s="4"/>
      <c r="C35" s="5"/>
      <c r="D35" s="6"/>
      <c r="E35" s="33"/>
    </row>
    <row r="36" spans="1:18" x14ac:dyDescent="0.25">
      <c r="A36" s="1"/>
      <c r="B36" s="7" t="s">
        <v>63</v>
      </c>
      <c r="C36" s="110">
        <f>D29/C29</f>
        <v>0.27628755438318892</v>
      </c>
      <c r="D36" s="9"/>
      <c r="E36" s="33"/>
    </row>
    <row r="37" spans="1:18" x14ac:dyDescent="0.25">
      <c r="A37" s="1"/>
      <c r="B37" s="7" t="s">
        <v>64</v>
      </c>
      <c r="C37" s="111">
        <f>F29/D29</f>
        <v>0</v>
      </c>
      <c r="D37" s="9" t="s">
        <v>65</v>
      </c>
      <c r="E37" s="33"/>
      <c r="F37" s="115"/>
      <c r="J37" s="1">
        <f>768364</f>
        <v>768364</v>
      </c>
    </row>
    <row r="38" spans="1:18" x14ac:dyDescent="0.25">
      <c r="A38" s="1"/>
      <c r="B38" s="7" t="s">
        <v>66</v>
      </c>
      <c r="C38" s="278">
        <f>D22/B49</f>
        <v>1.7648093872175166E-2</v>
      </c>
      <c r="D38" s="9"/>
      <c r="E38" s="33"/>
      <c r="J38" s="1">
        <v>50694.8</v>
      </c>
    </row>
    <row r="39" spans="1:18" ht="15.75" thickBot="1" x14ac:dyDescent="0.3">
      <c r="A39" s="1"/>
      <c r="B39" s="10" t="s">
        <v>67</v>
      </c>
      <c r="C39" s="140">
        <f>D32/C32</f>
        <v>1</v>
      </c>
      <c r="D39" s="12"/>
      <c r="E39" s="33"/>
      <c r="J39" s="1">
        <f>J38/J37</f>
        <v>6.5977583541134158E-2</v>
      </c>
    </row>
    <row r="41" spans="1:18" s="2" customFormat="1" ht="60" x14ac:dyDescent="0.25">
      <c r="A41" s="14" t="s">
        <v>68</v>
      </c>
      <c r="B41" s="14" t="s">
        <v>3</v>
      </c>
      <c r="C41" s="14" t="s">
        <v>69</v>
      </c>
      <c r="D41" s="14" t="s">
        <v>70</v>
      </c>
      <c r="E41" s="14"/>
      <c r="F41" s="14" t="s">
        <v>71</v>
      </c>
      <c r="G41" s="14" t="s">
        <v>72</v>
      </c>
      <c r="J41" s="15"/>
      <c r="Q41" s="1"/>
    </row>
    <row r="42" spans="1:18" ht="15.75" thickBot="1" x14ac:dyDescent="0.3">
      <c r="A42" s="332" t="s">
        <v>73</v>
      </c>
      <c r="B42" s="15">
        <f>C15</f>
        <v>495767.68</v>
      </c>
      <c r="C42" s="15">
        <f>D15</f>
        <v>151777.17000000001</v>
      </c>
      <c r="D42" s="16">
        <f>C42/B42</f>
        <v>0.30614575359168233</v>
      </c>
      <c r="E42" s="16"/>
      <c r="F42" s="16">
        <f>B42/$B$45</f>
        <v>0.82845440802405224</v>
      </c>
      <c r="G42" s="16">
        <f>C42/$C$45</f>
        <v>0.91798488580890958</v>
      </c>
      <c r="I42" s="16"/>
      <c r="J42" s="24"/>
      <c r="N42" s="115"/>
    </row>
    <row r="43" spans="1:18" x14ac:dyDescent="0.25">
      <c r="A43" s="3" t="s">
        <v>74</v>
      </c>
      <c r="B43" s="15">
        <f>C23</f>
        <v>102657.14</v>
      </c>
      <c r="C43" s="15">
        <f>D23</f>
        <v>13560.16</v>
      </c>
      <c r="D43" s="16">
        <f>C43/B43</f>
        <v>0.13209173760344387</v>
      </c>
      <c r="E43" s="16"/>
      <c r="F43" s="16">
        <f>B43/$B$45</f>
        <v>0.17154559197594779</v>
      </c>
      <c r="G43" s="16">
        <f>C43/$C$45</f>
        <v>8.2015114191090407E-2</v>
      </c>
      <c r="J43" s="115"/>
      <c r="K43" s="350" t="s">
        <v>129</v>
      </c>
      <c r="L43" s="350"/>
      <c r="M43" s="350"/>
      <c r="N43" s="350"/>
    </row>
    <row r="44" spans="1:18" x14ac:dyDescent="0.25">
      <c r="A44" s="13" t="s">
        <v>75</v>
      </c>
      <c r="B44" s="15"/>
      <c r="C44" s="15"/>
      <c r="D44" s="16"/>
      <c r="E44" s="16"/>
      <c r="F44" s="16"/>
      <c r="G44" s="16"/>
      <c r="J44" s="115"/>
      <c r="L44" s="1" t="s">
        <v>130</v>
      </c>
      <c r="M44" s="1" t="s">
        <v>131</v>
      </c>
    </row>
    <row r="45" spans="1:18" x14ac:dyDescent="0.25">
      <c r="A45" s="17"/>
      <c r="B45" s="18">
        <f>SUM(B42:B44)</f>
        <v>598424.81999999995</v>
      </c>
      <c r="C45" s="18">
        <f>SUM(C42:C44)</f>
        <v>165337.33000000002</v>
      </c>
      <c r="D45" s="19" t="s">
        <v>76</v>
      </c>
      <c r="E45" s="19"/>
      <c r="F45" s="19">
        <f>SUM(F42:F44)</f>
        <v>1</v>
      </c>
      <c r="G45" s="19">
        <f>SUM(G42:G44)</f>
        <v>1</v>
      </c>
      <c r="J45" s="174"/>
      <c r="K45" s="1">
        <v>2022</v>
      </c>
      <c r="L45" s="172">
        <v>151777.17000000001</v>
      </c>
      <c r="M45" s="172">
        <v>13560.16</v>
      </c>
      <c r="O45" s="172"/>
    </row>
    <row r="46" spans="1:18" x14ac:dyDescent="0.25">
      <c r="A46" s="1"/>
      <c r="C46" s="2"/>
      <c r="K46" s="1">
        <v>2021</v>
      </c>
      <c r="L46" s="172">
        <v>-39487.83</v>
      </c>
      <c r="M46" s="172">
        <v>23115.55</v>
      </c>
      <c r="N46" s="172"/>
      <c r="O46" s="172"/>
    </row>
    <row r="47" spans="1:18" x14ac:dyDescent="0.25">
      <c r="K47" s="1">
        <v>2020</v>
      </c>
      <c r="L47" s="172">
        <f>158732.21</f>
        <v>158732.21</v>
      </c>
      <c r="M47" s="172">
        <f>9684.77+17894.48</f>
        <v>27579.25</v>
      </c>
      <c r="N47" s="172"/>
    </row>
    <row r="48" spans="1:18" x14ac:dyDescent="0.25">
      <c r="A48" s="1" t="s">
        <v>132</v>
      </c>
      <c r="C48" s="2"/>
      <c r="L48" s="172">
        <f>SUM(L45:L47)</f>
        <v>271021.55</v>
      </c>
      <c r="M48" s="172">
        <f>SUM(M45:M47)</f>
        <v>64254.96</v>
      </c>
      <c r="N48" s="172">
        <f>SUM(L48:M48)</f>
        <v>335276.51</v>
      </c>
    </row>
    <row r="49" spans="1:14" x14ac:dyDescent="0.25">
      <c r="A49" s="20" t="s">
        <v>133</v>
      </c>
      <c r="B49" s="270">
        <v>768364</v>
      </c>
      <c r="C49" s="2"/>
      <c r="D49" s="20"/>
      <c r="E49" s="203"/>
      <c r="N49" s="172">
        <v>335276.51</v>
      </c>
    </row>
    <row r="50" spans="1:14" x14ac:dyDescent="0.25">
      <c r="A50" t="s">
        <v>134</v>
      </c>
      <c r="B50" s="270">
        <v>0</v>
      </c>
      <c r="C50" s="123"/>
      <c r="D50"/>
      <c r="E50" s="203"/>
      <c r="N50" s="172">
        <f>N48-N49</f>
        <v>0</v>
      </c>
    </row>
    <row r="51" spans="1:14" x14ac:dyDescent="0.25">
      <c r="A51" t="s">
        <v>86</v>
      </c>
      <c r="B51" s="270">
        <v>0</v>
      </c>
      <c r="C51" s="109"/>
      <c r="D51"/>
      <c r="E51" s="203"/>
    </row>
    <row r="52" spans="1:14" x14ac:dyDescent="0.25">
      <c r="A52" t="s">
        <v>135</v>
      </c>
      <c r="B52" s="273">
        <f>SUM(B49:B51)</f>
        <v>768364</v>
      </c>
      <c r="C52" s="109"/>
      <c r="D52"/>
      <c r="E52" s="117"/>
    </row>
    <row r="53" spans="1:14" x14ac:dyDescent="0.25">
      <c r="A53" s="116" t="s">
        <v>92</v>
      </c>
      <c r="B53" s="270">
        <f>B52-C30</f>
        <v>768364</v>
      </c>
      <c r="C53" s="109" t="s">
        <v>136</v>
      </c>
      <c r="D53" s="116"/>
      <c r="E53" s="117"/>
    </row>
    <row r="54" spans="1:14" x14ac:dyDescent="0.25">
      <c r="A54" s="1"/>
      <c r="B54" s="274"/>
      <c r="C54" s="109" t="s">
        <v>137</v>
      </c>
      <c r="D54"/>
      <c r="E54" s="203"/>
    </row>
    <row r="55" spans="1:14" x14ac:dyDescent="0.25">
      <c r="A55" s="116"/>
      <c r="B55" s="270"/>
      <c r="C55" s="109"/>
      <c r="D55" s="116"/>
      <c r="E55" s="203"/>
    </row>
    <row r="56" spans="1:14" x14ac:dyDescent="0.25">
      <c r="A56" t="s">
        <v>99</v>
      </c>
      <c r="B56" s="275">
        <f>C26</f>
        <v>0</v>
      </c>
      <c r="C56" s="126"/>
      <c r="D56"/>
      <c r="E56" s="118"/>
    </row>
    <row r="57" spans="1:14" x14ac:dyDescent="0.25">
      <c r="A57" t="s">
        <v>100</v>
      </c>
      <c r="B57" s="275">
        <f>C28</f>
        <v>0</v>
      </c>
      <c r="D57" s="116"/>
      <c r="E57" s="118"/>
    </row>
    <row r="58" spans="1:14" x14ac:dyDescent="0.25">
      <c r="A58" t="s">
        <v>69</v>
      </c>
      <c r="B58" s="275">
        <f>D30</f>
        <v>0</v>
      </c>
      <c r="D58"/>
      <c r="E58" s="118"/>
    </row>
    <row r="59" spans="1:14" x14ac:dyDescent="0.25">
      <c r="A59" s="20" t="s">
        <v>138</v>
      </c>
      <c r="B59" s="275">
        <f>B52-B58</f>
        <v>768364</v>
      </c>
      <c r="D59" s="20"/>
      <c r="E59" s="118"/>
    </row>
    <row r="60" spans="1:14" x14ac:dyDescent="0.25">
      <c r="A60" s="1"/>
      <c r="C60" s="2"/>
      <c r="E60" s="126"/>
    </row>
    <row r="61" spans="1:14" x14ac:dyDescent="0.25">
      <c r="A61" s="1"/>
      <c r="C61" s="2"/>
    </row>
    <row r="62" spans="1:14" x14ac:dyDescent="0.25">
      <c r="A62" s="1"/>
      <c r="C62" s="2"/>
    </row>
    <row r="63" spans="1:14" x14ac:dyDescent="0.25">
      <c r="A63" s="1" t="s">
        <v>103</v>
      </c>
      <c r="B63" s="2">
        <f>F30+HOME!G5</f>
        <v>0</v>
      </c>
      <c r="C63" s="113"/>
    </row>
    <row r="64" spans="1:14" x14ac:dyDescent="0.25">
      <c r="A64" s="1" t="s">
        <v>104</v>
      </c>
      <c r="B64" s="2">
        <f>L30+M30+HOME!L5+HOME!M5</f>
        <v>0</v>
      </c>
      <c r="C64" s="113" t="e">
        <f>B64/D63</f>
        <v>#DIV/0!</v>
      </c>
    </row>
    <row r="65" spans="1:3" x14ac:dyDescent="0.25">
      <c r="A65" s="1" t="s">
        <v>17</v>
      </c>
      <c r="B65" s="2">
        <f>P30+HOME!P5</f>
        <v>0</v>
      </c>
      <c r="C65" s="113" t="e">
        <f>B65/D63</f>
        <v>#DIV/0!</v>
      </c>
    </row>
    <row r="66" spans="1:3" x14ac:dyDescent="0.25">
      <c r="A66" s="1" t="s">
        <v>16</v>
      </c>
      <c r="B66" s="2">
        <f>O30+HOME!O5</f>
        <v>0</v>
      </c>
      <c r="C66" s="113" t="e">
        <f>B66/D63</f>
        <v>#DIV/0!</v>
      </c>
    </row>
    <row r="67" spans="1:3" x14ac:dyDescent="0.25">
      <c r="A67" s="1" t="s">
        <v>105</v>
      </c>
      <c r="B67" s="2">
        <f>G30+HOME!H5</f>
        <v>0</v>
      </c>
      <c r="C67" s="113" t="e">
        <f>B67/$B$72</f>
        <v>#DIV/0!</v>
      </c>
    </row>
    <row r="68" spans="1:3" x14ac:dyDescent="0.25">
      <c r="A68" s="1" t="s">
        <v>106</v>
      </c>
      <c r="B68" s="2">
        <f>H30+HOME!I5</f>
        <v>0</v>
      </c>
      <c r="C68" s="113" t="e">
        <f>B68/$B$72</f>
        <v>#DIV/0!</v>
      </c>
    </row>
    <row r="69" spans="1:3" x14ac:dyDescent="0.25">
      <c r="A69" s="1" t="s">
        <v>107</v>
      </c>
      <c r="B69" s="2">
        <f>I30+HOME!J5</f>
        <v>0</v>
      </c>
      <c r="C69" s="113" t="e">
        <f>B69/$B$72</f>
        <v>#DIV/0!</v>
      </c>
    </row>
    <row r="70" spans="1:3" x14ac:dyDescent="0.25">
      <c r="A70" s="1" t="s">
        <v>108</v>
      </c>
      <c r="B70" s="2">
        <f>J30</f>
        <v>0</v>
      </c>
      <c r="C70" s="2"/>
    </row>
    <row r="71" spans="1:3" x14ac:dyDescent="0.25">
      <c r="A71" s="24" t="s">
        <v>109</v>
      </c>
      <c r="C71" s="2"/>
    </row>
    <row r="72" spans="1:3" x14ac:dyDescent="0.25">
      <c r="A72" t="s">
        <v>139</v>
      </c>
      <c r="B72" s="125">
        <f>B51</f>
        <v>0</v>
      </c>
      <c r="C72" s="2"/>
    </row>
    <row r="73" spans="1:3" x14ac:dyDescent="0.25">
      <c r="A73" s="20" t="s">
        <v>140</v>
      </c>
      <c r="B73" s="125">
        <f>B49</f>
        <v>768364</v>
      </c>
      <c r="C73" s="2"/>
    </row>
    <row r="74" spans="1:3" x14ac:dyDescent="0.25">
      <c r="A74" s="20" t="s">
        <v>112</v>
      </c>
      <c r="B74" s="125">
        <f>B50</f>
        <v>0</v>
      </c>
      <c r="C74" s="2"/>
    </row>
    <row r="75" spans="1:3" x14ac:dyDescent="0.25">
      <c r="A75" s="20" t="s">
        <v>113</v>
      </c>
      <c r="B75" s="125">
        <f>B45</f>
        <v>598424.81999999995</v>
      </c>
      <c r="C75" s="2"/>
    </row>
    <row r="76" spans="1:3" x14ac:dyDescent="0.25">
      <c r="A76" t="s">
        <v>141</v>
      </c>
      <c r="B76" s="125">
        <f>SUM(B72:B74)-B75</f>
        <v>169939.18000000005</v>
      </c>
      <c r="C76" s="2"/>
    </row>
    <row r="77" spans="1:3" x14ac:dyDescent="0.25">
      <c r="A77" t="s">
        <v>69</v>
      </c>
      <c r="B77" s="125">
        <f>B58</f>
        <v>0</v>
      </c>
      <c r="C77" s="2"/>
    </row>
    <row r="78" spans="1:3" x14ac:dyDescent="0.25">
      <c r="A78" s="20" t="s">
        <v>142</v>
      </c>
      <c r="B78" s="125">
        <f>B59</f>
        <v>768364</v>
      </c>
      <c r="C78" s="2"/>
    </row>
    <row r="79" spans="1:3" x14ac:dyDescent="0.25">
      <c r="A79" s="124"/>
    </row>
    <row r="80" spans="1:3" x14ac:dyDescent="0.25">
      <c r="A80" s="33" t="s">
        <v>116</v>
      </c>
    </row>
    <row r="81" spans="1:5" x14ac:dyDescent="0.25">
      <c r="A81" t="s">
        <v>110</v>
      </c>
      <c r="B81" s="180">
        <f>B59</f>
        <v>768364</v>
      </c>
    </row>
    <row r="82" spans="1:5" x14ac:dyDescent="0.25">
      <c r="A82" s="20" t="s">
        <v>143</v>
      </c>
      <c r="B82" s="181">
        <v>558679</v>
      </c>
    </row>
    <row r="83" spans="1:5" x14ac:dyDescent="0.25">
      <c r="A83" s="20" t="s">
        <v>118</v>
      </c>
      <c r="B83" s="125">
        <v>50000</v>
      </c>
      <c r="E83" s="196"/>
    </row>
    <row r="84" spans="1:5" x14ac:dyDescent="0.25">
      <c r="A84" s="20" t="s">
        <v>113</v>
      </c>
      <c r="B84" s="125">
        <f>B75</f>
        <v>598424.81999999995</v>
      </c>
      <c r="E84" s="196"/>
    </row>
    <row r="85" spans="1:5" x14ac:dyDescent="0.25">
      <c r="A85" t="s">
        <v>144</v>
      </c>
      <c r="B85" s="125">
        <f>SUM(B81:B84)</f>
        <v>1975467.8199999998</v>
      </c>
    </row>
    <row r="86" spans="1:5" x14ac:dyDescent="0.25">
      <c r="A86" t="s">
        <v>120</v>
      </c>
      <c r="B86" s="180">
        <v>0</v>
      </c>
      <c r="E86" s="196"/>
    </row>
  </sheetData>
  <mergeCells count="6">
    <mergeCell ref="K43:N43"/>
    <mergeCell ref="F22:Q22"/>
    <mergeCell ref="F23:Q23"/>
    <mergeCell ref="A1:R1"/>
    <mergeCell ref="G9:Q9"/>
    <mergeCell ref="G13:Q13"/>
  </mergeCells>
  <printOptions horizontalCentered="1"/>
  <pageMargins left="0.45" right="0.45" top="0.5" bottom="0.5" header="0.3" footer="0.3"/>
  <pageSetup paperSize="17" scale="37" orientation="landscape" r:id="rId1"/>
  <headerFooter>
    <oddFooter>&amp;L&amp;9&amp;Z&amp;F&amp;R&amp;9&amp;D</oddFooter>
  </headerFooter>
  <rowBreaks count="1" manualBreakCount="1">
    <brk id="2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Y25"/>
  <sheetViews>
    <sheetView zoomScaleNormal="100" workbookViewId="0">
      <selection activeCell="A24" sqref="A24"/>
    </sheetView>
  </sheetViews>
  <sheetFormatPr defaultColWidth="9.28515625" defaultRowHeight="15" x14ac:dyDescent="0.25"/>
  <cols>
    <col min="1" max="1" width="26.28515625" style="1" customWidth="1"/>
    <col min="2" max="2" width="43.28515625" style="2" customWidth="1"/>
    <col min="3" max="3" width="48.42578125" style="2" customWidth="1"/>
    <col min="4" max="5" width="15.7109375" style="1" bestFit="1" customWidth="1"/>
    <col min="6" max="6" width="17.7109375" style="1" customWidth="1"/>
    <col min="7" max="7" width="6.28515625" style="1" bestFit="1" customWidth="1"/>
    <col min="8" max="8" width="10.7109375" style="1" customWidth="1"/>
    <col min="9" max="9" width="5.42578125" style="1" customWidth="1"/>
    <col min="10" max="10" width="11" style="1" customWidth="1"/>
    <col min="11" max="11" width="8.7109375" style="1" customWidth="1"/>
    <col min="12" max="12" width="9.28515625" style="1" customWidth="1"/>
    <col min="13" max="13" width="8.42578125" style="1" customWidth="1"/>
    <col min="14" max="14" width="8.28515625" style="1" customWidth="1"/>
    <col min="15" max="15" width="10.28515625" style="1" customWidth="1"/>
    <col min="16" max="16" width="13.7109375" style="1" customWidth="1"/>
    <col min="17" max="16384" width="9.28515625" style="1"/>
  </cols>
  <sheetData>
    <row r="1" spans="1:25" ht="28.5" customHeight="1" thickBot="1" x14ac:dyDescent="0.3">
      <c r="A1" s="360" t="s">
        <v>145</v>
      </c>
      <c r="B1" s="361"/>
      <c r="C1" s="361"/>
      <c r="D1" s="361"/>
      <c r="E1" s="361"/>
      <c r="F1" s="361"/>
      <c r="G1" s="361"/>
      <c r="H1" s="361"/>
      <c r="I1" s="361"/>
      <c r="J1" s="361"/>
      <c r="K1" s="361"/>
      <c r="L1" s="361"/>
      <c r="M1" s="361"/>
      <c r="N1" s="361"/>
      <c r="O1" s="361"/>
      <c r="P1" s="362"/>
    </row>
    <row r="2" spans="1:25" ht="28.5" customHeight="1" thickBot="1" x14ac:dyDescent="0.3">
      <c r="A2" s="81"/>
      <c r="B2" s="81"/>
      <c r="C2" s="81"/>
      <c r="D2" s="81"/>
      <c r="E2" s="81"/>
      <c r="F2" s="81"/>
      <c r="G2" s="81"/>
      <c r="H2" s="81"/>
      <c r="I2" s="81"/>
      <c r="J2" s="81"/>
      <c r="K2" s="81"/>
      <c r="L2" s="81"/>
      <c r="M2" s="81"/>
      <c r="N2" s="81"/>
      <c r="O2" s="81"/>
      <c r="P2" s="81"/>
    </row>
    <row r="3" spans="1:25" s="23" customFormat="1" ht="48" thickBot="1" x14ac:dyDescent="0.3">
      <c r="A3" s="77"/>
      <c r="B3" s="78" t="s">
        <v>1</v>
      </c>
      <c r="C3" s="78" t="s">
        <v>2</v>
      </c>
      <c r="D3" s="79" t="s">
        <v>3</v>
      </c>
      <c r="E3" s="79" t="s">
        <v>69</v>
      </c>
      <c r="F3" s="79" t="s">
        <v>6</v>
      </c>
      <c r="G3" s="78" t="s">
        <v>146</v>
      </c>
      <c r="H3" s="78" t="s">
        <v>147</v>
      </c>
      <c r="I3" s="78" t="s">
        <v>148</v>
      </c>
      <c r="J3" s="78" t="s">
        <v>149</v>
      </c>
      <c r="K3" s="78" t="s">
        <v>12</v>
      </c>
      <c r="L3" s="78" t="s">
        <v>150</v>
      </c>
      <c r="M3" s="78" t="s">
        <v>151</v>
      </c>
      <c r="N3" s="78" t="s">
        <v>15</v>
      </c>
      <c r="O3" s="78" t="s">
        <v>16</v>
      </c>
      <c r="P3" s="80" t="s">
        <v>17</v>
      </c>
    </row>
    <row r="4" spans="1:25" s="26" customFormat="1" ht="23.25" hidden="1" x14ac:dyDescent="0.25">
      <c r="A4" s="82" t="s">
        <v>22</v>
      </c>
      <c r="B4" s="83"/>
      <c r="C4" s="83"/>
      <c r="D4" s="84"/>
      <c r="E4" s="84"/>
      <c r="F4" s="84"/>
      <c r="G4" s="85"/>
      <c r="H4" s="85"/>
      <c r="I4" s="85"/>
      <c r="J4" s="85"/>
      <c r="K4" s="85"/>
      <c r="L4" s="85"/>
      <c r="M4" s="85"/>
      <c r="N4" s="85"/>
      <c r="O4" s="85"/>
      <c r="P4" s="86"/>
    </row>
    <row r="5" spans="1:25" s="52" customFormat="1" ht="15.75" hidden="1" x14ac:dyDescent="0.25">
      <c r="A5" s="112"/>
      <c r="B5" s="64"/>
      <c r="C5" s="64"/>
      <c r="D5" s="65"/>
      <c r="E5" s="66"/>
      <c r="F5" s="66"/>
      <c r="G5" s="100"/>
      <c r="H5" s="67"/>
      <c r="I5" s="67"/>
      <c r="J5" s="67"/>
      <c r="K5" s="67"/>
      <c r="L5" s="67"/>
      <c r="M5" s="67"/>
      <c r="N5" s="67"/>
      <c r="O5" s="67"/>
      <c r="P5" s="67"/>
    </row>
    <row r="6" spans="1:25" s="52" customFormat="1" ht="15.75" hidden="1" x14ac:dyDescent="0.25">
      <c r="A6" s="112"/>
      <c r="B6" s="64"/>
      <c r="C6" s="64"/>
      <c r="D6" s="65"/>
      <c r="E6" s="66"/>
      <c r="F6" s="66"/>
      <c r="G6" s="100"/>
      <c r="H6" s="67"/>
      <c r="I6" s="67"/>
      <c r="J6" s="67"/>
      <c r="K6" s="67"/>
      <c r="L6" s="67"/>
      <c r="M6" s="67"/>
      <c r="N6" s="67"/>
      <c r="O6" s="67"/>
      <c r="P6" s="67"/>
    </row>
    <row r="7" spans="1:25" s="52" customFormat="1" ht="15.75" hidden="1" x14ac:dyDescent="0.25">
      <c r="A7" s="95"/>
      <c r="B7" s="96" t="s">
        <v>48</v>
      </c>
      <c r="C7" s="96"/>
      <c r="D7" s="97">
        <f t="shared" ref="D7:P7" si="0">SUM(D5:D6)</f>
        <v>0</v>
      </c>
      <c r="E7" s="97">
        <f t="shared" si="0"/>
        <v>0</v>
      </c>
      <c r="F7" s="97">
        <f t="shared" si="0"/>
        <v>0</v>
      </c>
      <c r="G7" s="107">
        <f t="shared" si="0"/>
        <v>0</v>
      </c>
      <c r="H7" s="107">
        <f t="shared" si="0"/>
        <v>0</v>
      </c>
      <c r="I7" s="107">
        <f t="shared" si="0"/>
        <v>0</v>
      </c>
      <c r="J7" s="107">
        <f t="shared" si="0"/>
        <v>0</v>
      </c>
      <c r="K7" s="107">
        <f t="shared" si="0"/>
        <v>0</v>
      </c>
      <c r="L7" s="107">
        <f t="shared" si="0"/>
        <v>0</v>
      </c>
      <c r="M7" s="107">
        <f t="shared" si="0"/>
        <v>0</v>
      </c>
      <c r="N7" s="107">
        <f t="shared" si="0"/>
        <v>0</v>
      </c>
      <c r="O7" s="107">
        <f t="shared" si="0"/>
        <v>0</v>
      </c>
      <c r="P7" s="107">
        <f t="shared" si="0"/>
        <v>0</v>
      </c>
    </row>
    <row r="8" spans="1:25" hidden="1" x14ac:dyDescent="0.25">
      <c r="A8" s="29"/>
      <c r="B8" s="30"/>
      <c r="C8" s="30"/>
      <c r="D8" s="31"/>
      <c r="E8" s="31"/>
      <c r="F8" s="31"/>
      <c r="G8" s="32"/>
      <c r="H8" s="32"/>
      <c r="I8" s="32"/>
      <c r="J8" s="32"/>
      <c r="K8" s="32"/>
      <c r="L8" s="32"/>
      <c r="M8" s="32"/>
      <c r="N8" s="32"/>
      <c r="O8" s="32"/>
      <c r="P8" s="32"/>
    </row>
    <row r="9" spans="1:25" s="26" customFormat="1" ht="23.25" x14ac:dyDescent="0.25">
      <c r="A9" s="366" t="s">
        <v>22</v>
      </c>
      <c r="B9" s="367"/>
      <c r="C9" s="367"/>
      <c r="D9" s="367"/>
      <c r="E9" s="367"/>
      <c r="F9" s="367"/>
      <c r="G9" s="367"/>
      <c r="H9" s="367"/>
      <c r="I9" s="367"/>
      <c r="J9" s="367"/>
      <c r="K9" s="367"/>
      <c r="L9" s="367"/>
      <c r="M9" s="367"/>
      <c r="N9" s="367"/>
      <c r="O9" s="367"/>
      <c r="P9" s="368"/>
    </row>
    <row r="10" spans="1:25" s="52" customFormat="1" ht="15.75" x14ac:dyDescent="0.25">
      <c r="A10" s="63"/>
      <c r="B10" s="64"/>
      <c r="C10" s="64"/>
      <c r="D10" s="158"/>
      <c r="E10" s="158"/>
      <c r="F10" s="178"/>
      <c r="G10" s="363" t="s">
        <v>152</v>
      </c>
      <c r="H10" s="364"/>
      <c r="I10" s="364"/>
      <c r="J10" s="364"/>
      <c r="K10" s="364"/>
      <c r="L10" s="364"/>
      <c r="M10" s="364"/>
      <c r="N10" s="364"/>
      <c r="O10" s="364"/>
      <c r="P10" s="365"/>
      <c r="Q10" s="173"/>
      <c r="R10" s="173"/>
      <c r="S10" s="173"/>
      <c r="T10" s="173"/>
      <c r="U10" s="173"/>
      <c r="V10" s="173"/>
      <c r="W10" s="173"/>
      <c r="X10" s="173"/>
      <c r="Y10" s="173"/>
    </row>
    <row r="11" spans="1:25" s="52" customFormat="1" ht="15.75" x14ac:dyDescent="0.25">
      <c r="A11" s="98" t="s">
        <v>48</v>
      </c>
      <c r="B11" s="98"/>
      <c r="C11" s="169"/>
      <c r="D11" s="169">
        <f>SUM(D6:D10)</f>
        <v>0</v>
      </c>
      <c r="E11" s="162">
        <f>SUM(E9:E10)</f>
        <v>0</v>
      </c>
      <c r="F11" s="179"/>
      <c r="G11" s="105"/>
      <c r="H11" s="105"/>
      <c r="I11" s="105"/>
      <c r="J11" s="105"/>
      <c r="K11" s="105"/>
      <c r="L11" s="105"/>
      <c r="M11" s="105"/>
      <c r="N11" s="105"/>
      <c r="O11" s="106"/>
      <c r="P11" s="106"/>
    </row>
    <row r="12" spans="1:25" x14ac:dyDescent="0.25">
      <c r="A12" s="1" t="s">
        <v>52</v>
      </c>
      <c r="B12" s="33"/>
      <c r="C12" s="33"/>
      <c r="D12" s="159">
        <v>0</v>
      </c>
      <c r="E12" s="159">
        <v>0</v>
      </c>
      <c r="F12" s="34"/>
      <c r="G12" s="24"/>
      <c r="H12" s="24"/>
      <c r="I12" s="24"/>
      <c r="J12" s="24"/>
      <c r="K12" s="24"/>
      <c r="L12" s="24"/>
      <c r="M12" s="24"/>
      <c r="N12" s="24"/>
      <c r="O12" s="24"/>
      <c r="P12" s="24"/>
    </row>
    <row r="13" spans="1:25" x14ac:dyDescent="0.25">
      <c r="A13" s="24"/>
      <c r="B13" s="33"/>
      <c r="C13" s="33"/>
      <c r="D13" s="159"/>
      <c r="E13" s="34"/>
      <c r="F13" s="34"/>
      <c r="G13" s="24"/>
      <c r="H13" s="24"/>
      <c r="I13" s="24"/>
      <c r="J13" s="24"/>
      <c r="K13" s="24"/>
      <c r="L13" s="24"/>
      <c r="M13" s="24"/>
      <c r="N13" s="24"/>
      <c r="O13" s="24"/>
      <c r="P13" s="24"/>
    </row>
    <row r="14" spans="1:25" s="41" customFormat="1" ht="15.75" x14ac:dyDescent="0.25">
      <c r="A14" s="68" t="s">
        <v>55</v>
      </c>
      <c r="B14" s="69"/>
      <c r="C14" s="69"/>
      <c r="D14" s="160">
        <f>D11</f>
        <v>0</v>
      </c>
      <c r="E14" s="160">
        <f>E11</f>
        <v>0</v>
      </c>
      <c r="F14" s="160"/>
      <c r="G14" s="128"/>
      <c r="H14" s="103"/>
      <c r="I14" s="103"/>
      <c r="J14" s="103"/>
      <c r="K14" s="103"/>
      <c r="L14" s="103"/>
      <c r="M14" s="103"/>
      <c r="N14" s="103"/>
      <c r="O14" s="103"/>
      <c r="P14" s="104"/>
    </row>
    <row r="15" spans="1:25" ht="15.75" thickBot="1" x14ac:dyDescent="0.3"/>
    <row r="16" spans="1:25" x14ac:dyDescent="0.25">
      <c r="C16" s="4"/>
      <c r="D16" s="5"/>
      <c r="E16" s="6"/>
      <c r="F16" s="24"/>
      <c r="G16" s="24"/>
      <c r="H16" s="24"/>
      <c r="I16" s="24"/>
    </row>
    <row r="17" spans="1:9" x14ac:dyDescent="0.25">
      <c r="C17" s="7" t="s">
        <v>63</v>
      </c>
      <c r="D17" s="8" t="e">
        <f>E14/D14</f>
        <v>#DIV/0!</v>
      </c>
      <c r="E17" s="9"/>
      <c r="F17" s="24"/>
      <c r="G17" s="24"/>
      <c r="H17" s="24"/>
      <c r="I17" s="24"/>
    </row>
    <row r="18" spans="1:9" x14ac:dyDescent="0.25">
      <c r="C18" s="7" t="s">
        <v>64</v>
      </c>
      <c r="D18" s="22" t="e">
        <f>F14/E14</f>
        <v>#DIV/0!</v>
      </c>
      <c r="E18" s="9" t="s">
        <v>153</v>
      </c>
    </row>
    <row r="19" spans="1:9" x14ac:dyDescent="0.25">
      <c r="C19" s="7" t="s">
        <v>66</v>
      </c>
      <c r="D19" s="156" t="s">
        <v>25</v>
      </c>
      <c r="E19" s="9"/>
    </row>
    <row r="20" spans="1:9" x14ac:dyDescent="0.25">
      <c r="C20" s="7" t="s">
        <v>67</v>
      </c>
      <c r="D20" s="156" t="s">
        <v>25</v>
      </c>
      <c r="E20" s="9"/>
    </row>
    <row r="21" spans="1:9" ht="15.75" thickBot="1" x14ac:dyDescent="0.3">
      <c r="C21" s="10"/>
      <c r="D21" s="11"/>
      <c r="E21" s="12"/>
    </row>
    <row r="23" spans="1:9" s="2" customFormat="1" ht="60" x14ac:dyDescent="0.25">
      <c r="A23" s="14" t="s">
        <v>68</v>
      </c>
      <c r="B23" s="14" t="s">
        <v>3</v>
      </c>
      <c r="C23" s="14" t="s">
        <v>69</v>
      </c>
      <c r="D23" s="14" t="s">
        <v>70</v>
      </c>
      <c r="E23" s="14" t="s">
        <v>71</v>
      </c>
      <c r="F23" s="14" t="s">
        <v>72</v>
      </c>
    </row>
    <row r="24" spans="1:9" x14ac:dyDescent="0.25">
      <c r="A24" s="332" t="s">
        <v>22</v>
      </c>
      <c r="B24" s="15">
        <f>D11</f>
        <v>0</v>
      </c>
      <c r="C24" s="15">
        <f>E10</f>
        <v>0</v>
      </c>
      <c r="D24" s="16" t="e">
        <f>C24/B24</f>
        <v>#DIV/0!</v>
      </c>
      <c r="E24" s="16" t="e">
        <f>B24/$B$25</f>
        <v>#DIV/0!</v>
      </c>
      <c r="F24" s="16" t="e">
        <f>C24/$C$25</f>
        <v>#DIV/0!</v>
      </c>
    </row>
    <row r="25" spans="1:9" x14ac:dyDescent="0.25">
      <c r="A25" s="17"/>
      <c r="B25" s="18">
        <f>SUM(B24:B24)</f>
        <v>0</v>
      </c>
      <c r="C25" s="18">
        <f>SUM(C24:C24)</f>
        <v>0</v>
      </c>
      <c r="D25" s="19" t="e">
        <f>C25/B25</f>
        <v>#DIV/0!</v>
      </c>
      <c r="E25" s="19" t="e">
        <f>SUM(E24:E24)</f>
        <v>#DIV/0!</v>
      </c>
      <c r="F25" s="19" t="e">
        <f>SUM(F24:F24)</f>
        <v>#DIV/0!</v>
      </c>
    </row>
  </sheetData>
  <customSheetViews>
    <customSheetView guid="{94B3A4FE-72AA-482F-B8FA-1CCA2BB7CF1A}" showPageBreaks="1" fitToPage="1" printArea="1">
      <selection activeCell="D10" sqref="D10"/>
      <pageMargins left="0" right="0" top="0" bottom="0" header="0" footer="0"/>
      <printOptions horizontalCentered="1"/>
      <pageSetup paperSize="5" scale="57" orientation="landscape" r:id="rId1"/>
      <headerFooter>
        <oddHeader>&amp;C&amp;Z&amp;F</oddHeader>
      </headerFooter>
    </customSheetView>
    <customSheetView guid="{D6BA1E63-924C-47BE-9055-D8E8929EA3B0}" fitToPage="1" topLeftCell="B1">
      <selection activeCell="Q6" sqref="Q6"/>
      <pageMargins left="0" right="0" top="0" bottom="0" header="0" footer="0"/>
      <printOptions horizontalCentered="1"/>
      <pageSetup paperSize="5" scale="57" orientation="landscape" r:id="rId2"/>
      <headerFooter>
        <oddHeader>&amp;C&amp;Z&amp;F</oddHeader>
      </headerFooter>
    </customSheetView>
    <customSheetView guid="{85EA0921-5222-4866-B2A4-73FDFFB38684}" showPageBreaks="1" fitToPage="1" printArea="1" topLeftCell="B1">
      <selection activeCell="F5" sqref="F5"/>
      <pageMargins left="0" right="0" top="0" bottom="0" header="0" footer="0"/>
      <printOptions horizontalCentered="1"/>
      <pageSetup paperSize="5" scale="57" orientation="landscape" r:id="rId3"/>
      <headerFooter>
        <oddHeader>&amp;C&amp;Z&amp;F</oddHeader>
      </headerFooter>
    </customSheetView>
  </customSheetViews>
  <mergeCells count="3">
    <mergeCell ref="A1:P1"/>
    <mergeCell ref="G10:P10"/>
    <mergeCell ref="A9:P9"/>
  </mergeCells>
  <printOptions horizontalCentered="1"/>
  <pageMargins left="0.7" right="0.7" top="0.75" bottom="0.75" header="0.3" footer="0.3"/>
  <pageSetup paperSize="5" scale="62" orientation="landscape" r:id="rId4"/>
  <headerFooter>
    <oddHeader>&amp;C&amp;Z&amp;F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pageSetUpPr fitToPage="1"/>
  </sheetPr>
  <dimension ref="A1:S44"/>
  <sheetViews>
    <sheetView zoomScale="80" zoomScaleNormal="80" workbookViewId="0">
      <pane ySplit="3" topLeftCell="A4" activePane="bottomLeft" state="frozen"/>
      <selection activeCell="A2" sqref="A2"/>
      <selection pane="bottomLeft" activeCell="E22" sqref="E22"/>
    </sheetView>
  </sheetViews>
  <sheetFormatPr defaultColWidth="9.28515625" defaultRowHeight="15" x14ac:dyDescent="0.25"/>
  <cols>
    <col min="1" max="1" width="42.85546875" style="2" customWidth="1"/>
    <col min="2" max="2" width="48.42578125" style="2" customWidth="1"/>
    <col min="3" max="6" width="20.7109375" style="1" customWidth="1"/>
    <col min="7" max="17" width="15.7109375" style="1" customWidth="1"/>
    <col min="18" max="16384" width="9.28515625" style="1"/>
  </cols>
  <sheetData>
    <row r="1" spans="1:18" ht="23.25" x14ac:dyDescent="0.25">
      <c r="A1" s="378" t="s">
        <v>154</v>
      </c>
      <c r="B1" s="378"/>
      <c r="C1" s="378"/>
      <c r="D1" s="378"/>
      <c r="E1" s="378"/>
      <c r="F1" s="378"/>
      <c r="G1" s="378"/>
      <c r="H1" s="378"/>
      <c r="I1" s="378"/>
      <c r="J1" s="378"/>
      <c r="K1" s="378"/>
      <c r="L1" s="378"/>
      <c r="M1" s="378"/>
      <c r="N1" s="378"/>
      <c r="O1" s="378"/>
      <c r="P1" s="378"/>
      <c r="Q1" s="378"/>
    </row>
    <row r="2" spans="1:18" ht="24" thickBot="1" x14ac:dyDescent="0.3">
      <c r="A2" s="81"/>
      <c r="B2" s="81"/>
      <c r="C2" s="81"/>
      <c r="D2" s="81"/>
      <c r="E2" s="81"/>
      <c r="F2" s="81"/>
      <c r="G2" s="81"/>
      <c r="H2" s="81"/>
      <c r="I2" s="81"/>
      <c r="J2" s="81"/>
      <c r="K2" s="81"/>
      <c r="L2" s="81"/>
      <c r="M2" s="81"/>
      <c r="N2" s="81"/>
      <c r="O2" s="81"/>
      <c r="P2" s="81"/>
    </row>
    <row r="3" spans="1:18" s="23" customFormat="1" ht="63.75" thickBot="1" x14ac:dyDescent="0.3">
      <c r="A3" s="78" t="s">
        <v>1</v>
      </c>
      <c r="B3" s="78" t="s">
        <v>155</v>
      </c>
      <c r="C3" s="79" t="s">
        <v>3</v>
      </c>
      <c r="D3" s="79" t="s">
        <v>69</v>
      </c>
      <c r="E3" s="79" t="s">
        <v>156</v>
      </c>
      <c r="F3" s="79" t="s">
        <v>6</v>
      </c>
      <c r="G3" s="78" t="s">
        <v>157</v>
      </c>
      <c r="H3" s="78" t="s">
        <v>8</v>
      </c>
      <c r="I3" s="78" t="s">
        <v>9</v>
      </c>
      <c r="J3" s="78" t="s">
        <v>10</v>
      </c>
      <c r="K3" s="78" t="s">
        <v>158</v>
      </c>
      <c r="L3" s="78" t="s">
        <v>12</v>
      </c>
      <c r="M3" s="78" t="s">
        <v>150</v>
      </c>
      <c r="N3" s="78" t="s">
        <v>151</v>
      </c>
      <c r="O3" s="78" t="s">
        <v>15</v>
      </c>
      <c r="P3" s="78" t="s">
        <v>16</v>
      </c>
      <c r="Q3" s="78" t="s">
        <v>17</v>
      </c>
      <c r="R3" s="139"/>
    </row>
    <row r="4" spans="1:18" s="27" customFormat="1" ht="23.25" x14ac:dyDescent="0.25">
      <c r="A4" s="321" t="s">
        <v>159</v>
      </c>
      <c r="B4" s="322"/>
      <c r="C4" s="322"/>
      <c r="D4" s="322"/>
      <c r="E4" s="322"/>
      <c r="F4" s="322"/>
      <c r="G4" s="322"/>
      <c r="H4" s="322"/>
      <c r="I4" s="322"/>
      <c r="J4" s="322"/>
      <c r="K4" s="322"/>
      <c r="L4" s="322"/>
      <c r="M4" s="322"/>
      <c r="N4" s="322"/>
      <c r="O4" s="322"/>
      <c r="P4" s="322"/>
      <c r="Q4" s="323"/>
    </row>
    <row r="5" spans="1:18" ht="15.75" x14ac:dyDescent="0.25">
      <c r="A5" s="64" t="s">
        <v>160</v>
      </c>
      <c r="B5" s="122" t="s">
        <v>161</v>
      </c>
      <c r="C5" s="161">
        <f>125000+50275</f>
        <v>175275</v>
      </c>
      <c r="D5" s="161">
        <v>59750</v>
      </c>
      <c r="E5" s="161">
        <f t="shared" ref="E5:E10" si="0">C5-D5</f>
        <v>115525</v>
      </c>
      <c r="F5" s="161">
        <v>0</v>
      </c>
      <c r="G5" s="369"/>
      <c r="H5" s="370"/>
      <c r="I5" s="370"/>
      <c r="J5" s="370"/>
      <c r="K5" s="370"/>
      <c r="L5" s="370"/>
      <c r="M5" s="370"/>
      <c r="N5" s="370"/>
      <c r="O5" s="370"/>
      <c r="P5" s="370"/>
      <c r="Q5" s="371"/>
    </row>
    <row r="6" spans="1:18" ht="15.75" x14ac:dyDescent="0.25">
      <c r="A6" s="64" t="s">
        <v>162</v>
      </c>
      <c r="B6" s="122" t="s">
        <v>163</v>
      </c>
      <c r="C6" s="161">
        <f>646717</f>
        <v>646717</v>
      </c>
      <c r="D6" s="161">
        <v>0</v>
      </c>
      <c r="E6" s="161">
        <f t="shared" si="0"/>
        <v>646717</v>
      </c>
      <c r="F6" s="161">
        <v>0</v>
      </c>
      <c r="G6" s="369"/>
      <c r="H6" s="370"/>
      <c r="I6" s="370"/>
      <c r="J6" s="370"/>
      <c r="K6" s="370"/>
      <c r="L6" s="370"/>
      <c r="M6" s="370"/>
      <c r="N6" s="370"/>
      <c r="O6" s="370"/>
      <c r="P6" s="370"/>
      <c r="Q6" s="371"/>
    </row>
    <row r="7" spans="1:18" ht="31.5" x14ac:dyDescent="0.25">
      <c r="A7" s="64" t="s">
        <v>164</v>
      </c>
      <c r="B7" s="122" t="s">
        <v>165</v>
      </c>
      <c r="C7" s="161">
        <f>9212.24+150000+350000</f>
        <v>509212.24</v>
      </c>
      <c r="D7" s="161">
        <v>509212.24</v>
      </c>
      <c r="E7" s="161">
        <f t="shared" si="0"/>
        <v>0</v>
      </c>
      <c r="F7" s="161">
        <v>0</v>
      </c>
      <c r="G7" s="369"/>
      <c r="H7" s="370"/>
      <c r="I7" s="370"/>
      <c r="J7" s="370"/>
      <c r="K7" s="370"/>
      <c r="L7" s="370"/>
      <c r="M7" s="370"/>
      <c r="N7" s="370"/>
      <c r="O7" s="370"/>
      <c r="P7" s="370"/>
      <c r="Q7" s="371"/>
    </row>
    <row r="8" spans="1:18" ht="47.25" x14ac:dyDescent="0.25">
      <c r="A8" s="64" t="s">
        <v>166</v>
      </c>
      <c r="B8" s="122" t="s">
        <v>167</v>
      </c>
      <c r="C8" s="161">
        <v>1470150</v>
      </c>
      <c r="D8" s="161">
        <v>600000</v>
      </c>
      <c r="E8" s="161">
        <f t="shared" si="0"/>
        <v>870150</v>
      </c>
      <c r="F8" s="161">
        <v>0</v>
      </c>
      <c r="G8" s="369"/>
      <c r="H8" s="370"/>
      <c r="I8" s="370"/>
      <c r="J8" s="370"/>
      <c r="K8" s="370"/>
      <c r="L8" s="370"/>
      <c r="M8" s="370"/>
      <c r="N8" s="370"/>
      <c r="O8" s="370"/>
      <c r="P8" s="370"/>
      <c r="Q8" s="371"/>
    </row>
    <row r="9" spans="1:18" ht="15.75" x14ac:dyDescent="0.25">
      <c r="A9" s="64" t="s">
        <v>168</v>
      </c>
      <c r="B9" s="122" t="s">
        <v>169</v>
      </c>
      <c r="C9" s="161">
        <v>600000</v>
      </c>
      <c r="D9" s="161">
        <v>600000</v>
      </c>
      <c r="E9" s="161">
        <f t="shared" si="0"/>
        <v>0</v>
      </c>
      <c r="F9" s="161">
        <v>0</v>
      </c>
      <c r="G9" s="369"/>
      <c r="H9" s="370"/>
      <c r="I9" s="370"/>
      <c r="J9" s="370"/>
      <c r="K9" s="370"/>
      <c r="L9" s="370"/>
      <c r="M9" s="370"/>
      <c r="N9" s="370"/>
      <c r="O9" s="370"/>
      <c r="P9" s="370"/>
      <c r="Q9" s="371"/>
    </row>
    <row r="10" spans="1:18" ht="15.75" x14ac:dyDescent="0.25">
      <c r="A10" s="64"/>
      <c r="B10" s="122"/>
      <c r="C10" s="161"/>
      <c r="D10" s="161">
        <v>0</v>
      </c>
      <c r="E10" s="161">
        <f t="shared" si="0"/>
        <v>0</v>
      </c>
      <c r="F10" s="161">
        <v>0</v>
      </c>
      <c r="G10" s="369"/>
      <c r="H10" s="370"/>
      <c r="I10" s="370"/>
      <c r="J10" s="370"/>
      <c r="K10" s="370"/>
      <c r="L10" s="370"/>
      <c r="M10" s="370"/>
      <c r="N10" s="370"/>
      <c r="O10" s="370"/>
      <c r="P10" s="370"/>
      <c r="Q10" s="371"/>
    </row>
    <row r="11" spans="1:18" s="52" customFormat="1" ht="16.5" thickBot="1" x14ac:dyDescent="0.3">
      <c r="A11" s="256" t="s">
        <v>48</v>
      </c>
      <c r="B11" s="256"/>
      <c r="C11" s="257">
        <f>SUM(C5:C10)</f>
        <v>3401354.24</v>
      </c>
      <c r="D11" s="257">
        <f>SUM(D5:D10)</f>
        <v>1768962.24</v>
      </c>
      <c r="E11" s="257">
        <f>SUM(E5:E10)</f>
        <v>1632392</v>
      </c>
      <c r="F11" s="258">
        <f>SUM(F4:F7)</f>
        <v>0</v>
      </c>
      <c r="G11" s="381"/>
      <c r="H11" s="381"/>
      <c r="I11" s="381"/>
      <c r="J11" s="381"/>
      <c r="K11" s="381"/>
      <c r="L11" s="381"/>
      <c r="M11" s="381"/>
      <c r="N11" s="381"/>
      <c r="O11" s="381"/>
      <c r="P11" s="381"/>
      <c r="Q11" s="382"/>
    </row>
    <row r="12" spans="1:18" ht="23.25" x14ac:dyDescent="0.25">
      <c r="A12" s="315" t="s">
        <v>170</v>
      </c>
      <c r="B12" s="316"/>
      <c r="C12" s="316"/>
      <c r="D12" s="316"/>
      <c r="E12" s="316"/>
      <c r="F12" s="316"/>
      <c r="G12" s="316"/>
      <c r="H12" s="316"/>
      <c r="I12" s="316"/>
      <c r="J12" s="316"/>
      <c r="K12" s="316"/>
      <c r="L12" s="316"/>
      <c r="M12" s="316"/>
      <c r="N12" s="316"/>
      <c r="O12" s="316"/>
      <c r="P12" s="316"/>
      <c r="Q12" s="317"/>
    </row>
    <row r="13" spans="1:18" ht="31.5" x14ac:dyDescent="0.25">
      <c r="A13" s="64" t="s">
        <v>171</v>
      </c>
      <c r="B13" s="122" t="s">
        <v>172</v>
      </c>
      <c r="C13" s="161">
        <v>30518.560000000001</v>
      </c>
      <c r="D13" s="161">
        <v>0</v>
      </c>
      <c r="E13" s="161">
        <f>C13-D13</f>
        <v>30518.560000000001</v>
      </c>
      <c r="F13" s="202">
        <v>0</v>
      </c>
      <c r="G13" s="363" t="s">
        <v>173</v>
      </c>
      <c r="H13" s="364"/>
      <c r="I13" s="364"/>
      <c r="J13" s="364"/>
      <c r="K13" s="364"/>
      <c r="L13" s="364"/>
      <c r="M13" s="364"/>
      <c r="N13" s="364"/>
      <c r="O13" s="364"/>
      <c r="P13" s="364"/>
      <c r="Q13" s="365"/>
    </row>
    <row r="14" spans="1:18" ht="31.5" x14ac:dyDescent="0.25">
      <c r="A14" s="64" t="s">
        <v>174</v>
      </c>
      <c r="B14" s="122" t="s">
        <v>172</v>
      </c>
      <c r="C14" s="161">
        <v>90538.05</v>
      </c>
      <c r="D14" s="161">
        <v>90538.05</v>
      </c>
      <c r="E14" s="161">
        <f>C14-D14</f>
        <v>0</v>
      </c>
      <c r="F14" s="279">
        <v>0</v>
      </c>
      <c r="G14" s="363" t="s">
        <v>173</v>
      </c>
      <c r="H14" s="364"/>
      <c r="I14" s="364"/>
      <c r="J14" s="364"/>
      <c r="K14" s="364"/>
      <c r="L14" s="364"/>
      <c r="M14" s="364"/>
      <c r="N14" s="364"/>
      <c r="O14" s="364"/>
      <c r="P14" s="364"/>
      <c r="Q14" s="365"/>
    </row>
    <row r="15" spans="1:18" ht="31.5" x14ac:dyDescent="0.25">
      <c r="A15" s="64" t="s">
        <v>175</v>
      </c>
      <c r="B15" s="122" t="s">
        <v>172</v>
      </c>
      <c r="C15" s="161">
        <v>151518</v>
      </c>
      <c r="D15" s="161">
        <v>151518</v>
      </c>
      <c r="E15" s="161">
        <f>C15-D15</f>
        <v>0</v>
      </c>
      <c r="F15" s="280">
        <v>0</v>
      </c>
      <c r="G15" s="363" t="s">
        <v>173</v>
      </c>
      <c r="H15" s="364"/>
      <c r="I15" s="364"/>
      <c r="J15" s="364"/>
      <c r="K15" s="364"/>
      <c r="L15" s="364"/>
      <c r="M15" s="364"/>
      <c r="N15" s="364"/>
      <c r="O15" s="364"/>
      <c r="P15" s="364"/>
      <c r="Q15" s="365"/>
    </row>
    <row r="16" spans="1:18" ht="31.5" x14ac:dyDescent="0.25">
      <c r="A16" s="64" t="s">
        <v>176</v>
      </c>
      <c r="B16" s="122" t="s">
        <v>172</v>
      </c>
      <c r="C16" s="161">
        <v>55767</v>
      </c>
      <c r="D16" s="161">
        <v>55767</v>
      </c>
      <c r="E16" s="161">
        <f>C16-D16</f>
        <v>0</v>
      </c>
      <c r="F16" s="280">
        <v>0</v>
      </c>
      <c r="G16" s="363" t="s">
        <v>173</v>
      </c>
      <c r="H16" s="364"/>
      <c r="I16" s="364"/>
      <c r="J16" s="364"/>
      <c r="K16" s="364"/>
      <c r="L16" s="364"/>
      <c r="M16" s="364"/>
      <c r="N16" s="364"/>
      <c r="O16" s="364"/>
      <c r="P16" s="364"/>
      <c r="Q16" s="365"/>
    </row>
    <row r="17" spans="1:18" ht="31.5" x14ac:dyDescent="0.25">
      <c r="A17" s="64" t="s">
        <v>177</v>
      </c>
      <c r="B17" s="122" t="s">
        <v>172</v>
      </c>
      <c r="C17" s="161">
        <v>147623.5</v>
      </c>
      <c r="D17" s="161"/>
      <c r="E17" s="161">
        <f>C17-D17</f>
        <v>147623.5</v>
      </c>
      <c r="F17" s="280"/>
      <c r="G17" s="363" t="s">
        <v>173</v>
      </c>
      <c r="H17" s="364"/>
      <c r="I17" s="364"/>
      <c r="J17" s="364"/>
      <c r="K17" s="364"/>
      <c r="L17" s="364"/>
      <c r="M17" s="364"/>
      <c r="N17" s="364"/>
      <c r="O17" s="364"/>
      <c r="P17" s="364"/>
      <c r="Q17" s="365"/>
    </row>
    <row r="18" spans="1:18" s="52" customFormat="1" ht="15.75" x14ac:dyDescent="0.25">
      <c r="A18" s="259" t="s">
        <v>170</v>
      </c>
      <c r="B18" s="259"/>
      <c r="C18" s="260">
        <f>SUM(C13:C17)</f>
        <v>475965.11</v>
      </c>
      <c r="D18" s="260">
        <f>SUM(D13:D16)</f>
        <v>297823.05</v>
      </c>
      <c r="E18" s="260">
        <f>SUM(E13:E17)</f>
        <v>178142.06</v>
      </c>
      <c r="F18" s="261">
        <f>SUM(F13:F16)</f>
        <v>0</v>
      </c>
      <c r="G18" s="379"/>
      <c r="H18" s="379"/>
      <c r="I18" s="379"/>
      <c r="J18" s="379"/>
      <c r="K18" s="379"/>
      <c r="L18" s="379"/>
      <c r="M18" s="379"/>
      <c r="N18" s="379"/>
      <c r="O18" s="379"/>
      <c r="P18" s="379"/>
      <c r="Q18" s="380"/>
    </row>
    <row r="19" spans="1:18" s="25" customFormat="1" ht="23.25" x14ac:dyDescent="0.25">
      <c r="A19" s="318" t="s">
        <v>178</v>
      </c>
      <c r="B19" s="319"/>
      <c r="C19" s="319"/>
      <c r="D19" s="319"/>
      <c r="E19" s="319"/>
      <c r="F19" s="319"/>
      <c r="G19" s="319"/>
      <c r="H19" s="319"/>
      <c r="I19" s="319"/>
      <c r="J19" s="319"/>
      <c r="K19" s="319"/>
      <c r="L19" s="319"/>
      <c r="M19" s="319"/>
      <c r="N19" s="319"/>
      <c r="O19" s="319"/>
      <c r="P19" s="319"/>
      <c r="Q19" s="320"/>
    </row>
    <row r="20" spans="1:18" x14ac:dyDescent="0.25">
      <c r="A20" s="28" t="s">
        <v>52</v>
      </c>
      <c r="B20" s="28" t="s">
        <v>53</v>
      </c>
      <c r="C20" s="161">
        <f>407693.33</f>
        <v>407693.33</v>
      </c>
      <c r="D20" s="161">
        <f>351321.07+13703.19</f>
        <v>365024.26</v>
      </c>
      <c r="E20" s="161">
        <f>C20-D20</f>
        <v>42669.070000000007</v>
      </c>
      <c r="F20" s="161">
        <v>0</v>
      </c>
      <c r="G20" s="372" t="s">
        <v>179</v>
      </c>
      <c r="H20" s="373"/>
      <c r="I20" s="373"/>
      <c r="J20" s="373"/>
      <c r="K20" s="373"/>
      <c r="L20" s="373"/>
      <c r="M20" s="373"/>
      <c r="N20" s="373"/>
      <c r="O20" s="373"/>
      <c r="P20" s="373"/>
      <c r="Q20" s="374"/>
    </row>
    <row r="21" spans="1:18" x14ac:dyDescent="0.25">
      <c r="A21" s="28" t="s">
        <v>180</v>
      </c>
      <c r="B21" s="28" t="s">
        <v>181</v>
      </c>
      <c r="C21" s="161">
        <v>20000</v>
      </c>
      <c r="D21" s="161">
        <v>14999.95</v>
      </c>
      <c r="E21" s="161">
        <f>C21-D21</f>
        <v>5000.0499999999993</v>
      </c>
      <c r="F21" s="161"/>
      <c r="G21" s="372"/>
      <c r="H21" s="373"/>
      <c r="I21" s="373"/>
      <c r="J21" s="373"/>
      <c r="K21" s="373"/>
      <c r="L21" s="373"/>
      <c r="M21" s="373"/>
      <c r="N21" s="373"/>
      <c r="O21" s="373"/>
      <c r="P21" s="373"/>
      <c r="Q21" s="374"/>
    </row>
    <row r="22" spans="1:18" ht="110.25" x14ac:dyDescent="0.25">
      <c r="A22" s="64" t="s">
        <v>182</v>
      </c>
      <c r="B22" s="122" t="s">
        <v>183</v>
      </c>
      <c r="C22" s="161">
        <f>4022.11+25000</f>
        <v>29022.11</v>
      </c>
      <c r="D22" s="161">
        <v>12563.09</v>
      </c>
      <c r="E22" s="161">
        <f>C22-D22</f>
        <v>16459.02</v>
      </c>
      <c r="F22" s="176" t="s">
        <v>25</v>
      </c>
      <c r="G22" s="375" t="s">
        <v>184</v>
      </c>
      <c r="H22" s="376"/>
      <c r="I22" s="376"/>
      <c r="J22" s="376"/>
      <c r="K22" s="376"/>
      <c r="L22" s="376"/>
      <c r="M22" s="376"/>
      <c r="N22" s="376"/>
      <c r="O22" s="376"/>
      <c r="P22" s="376"/>
      <c r="Q22" s="377"/>
    </row>
    <row r="23" spans="1:18" ht="31.5" x14ac:dyDescent="0.25">
      <c r="A23" s="64" t="s">
        <v>185</v>
      </c>
      <c r="B23" s="122" t="s">
        <v>186</v>
      </c>
      <c r="C23" s="161">
        <v>100000</v>
      </c>
      <c r="D23" s="161">
        <v>0</v>
      </c>
      <c r="E23" s="161">
        <f>C23-D23</f>
        <v>100000</v>
      </c>
      <c r="F23" s="176"/>
      <c r="G23" s="369" t="s">
        <v>184</v>
      </c>
      <c r="H23" s="370"/>
      <c r="I23" s="370"/>
      <c r="J23" s="370"/>
      <c r="K23" s="370"/>
      <c r="L23" s="370"/>
      <c r="M23" s="370"/>
      <c r="N23" s="370"/>
      <c r="O23" s="370"/>
      <c r="P23" s="370"/>
      <c r="Q23" s="371"/>
    </row>
    <row r="24" spans="1:18" ht="31.5" x14ac:dyDescent="0.25">
      <c r="A24" s="64" t="s">
        <v>187</v>
      </c>
      <c r="B24" s="122" t="s">
        <v>188</v>
      </c>
      <c r="C24" s="161">
        <v>17000</v>
      </c>
      <c r="D24" s="161">
        <v>13180</v>
      </c>
      <c r="E24" s="161">
        <f>C24-D24</f>
        <v>3820</v>
      </c>
      <c r="F24" s="176"/>
      <c r="G24" s="369" t="s">
        <v>189</v>
      </c>
      <c r="H24" s="370"/>
      <c r="I24" s="370"/>
      <c r="J24" s="370"/>
      <c r="K24" s="370"/>
      <c r="L24" s="370"/>
      <c r="M24" s="370"/>
      <c r="N24" s="370"/>
      <c r="O24" s="370"/>
      <c r="P24" s="370"/>
      <c r="Q24" s="371"/>
    </row>
    <row r="25" spans="1:18" s="52" customFormat="1" ht="15.75" x14ac:dyDescent="0.25">
      <c r="A25" s="262" t="s">
        <v>54</v>
      </c>
      <c r="B25" s="262"/>
      <c r="C25" s="263">
        <f>SUM(C20:C22)</f>
        <v>456715.44</v>
      </c>
      <c r="D25" s="263">
        <f>SUM(D20:D24)</f>
        <v>405767.30000000005</v>
      </c>
      <c r="E25" s="263">
        <f>SUM(E20:E24)</f>
        <v>167948.14</v>
      </c>
      <c r="F25" s="264">
        <f>SUM(F20)</f>
        <v>0</v>
      </c>
      <c r="G25" s="265"/>
      <c r="H25" s="266"/>
      <c r="I25" s="266"/>
      <c r="J25" s="266"/>
      <c r="K25" s="266"/>
      <c r="L25" s="266"/>
      <c r="M25" s="266"/>
      <c r="N25" s="266"/>
      <c r="O25" s="266"/>
      <c r="P25" s="266"/>
      <c r="Q25" s="267"/>
    </row>
    <row r="26" spans="1:18" x14ac:dyDescent="0.25">
      <c r="A26" s="33"/>
      <c r="B26" s="33"/>
      <c r="C26" s="159"/>
      <c r="D26" s="159"/>
      <c r="E26" s="159"/>
      <c r="F26" s="159"/>
      <c r="G26" s="24"/>
      <c r="H26" s="24"/>
      <c r="I26" s="24"/>
      <c r="J26" s="24"/>
      <c r="K26" s="24"/>
      <c r="L26" s="24"/>
      <c r="M26" s="24"/>
      <c r="N26" s="24"/>
      <c r="O26" s="24"/>
      <c r="P26" s="24"/>
      <c r="Q26" s="138"/>
    </row>
    <row r="27" spans="1:18" x14ac:dyDescent="0.25">
      <c r="A27" s="33"/>
      <c r="B27" s="33"/>
      <c r="C27" s="159"/>
      <c r="D27" s="159"/>
      <c r="E27" s="159"/>
      <c r="F27" s="159"/>
      <c r="G27" s="24"/>
      <c r="H27" s="24"/>
      <c r="I27" s="24"/>
      <c r="J27" s="24"/>
      <c r="K27" s="24"/>
      <c r="L27" s="24"/>
      <c r="M27" s="24"/>
      <c r="N27" s="24"/>
      <c r="O27" s="24"/>
      <c r="P27" s="24"/>
      <c r="Q27" s="138"/>
    </row>
    <row r="28" spans="1:18" s="52" customFormat="1" ht="15.75" x14ac:dyDescent="0.25">
      <c r="A28" s="119" t="s">
        <v>55</v>
      </c>
      <c r="B28" s="120"/>
      <c r="C28" s="170">
        <f>C11+C18+C25</f>
        <v>4334034.79</v>
      </c>
      <c r="D28" s="170">
        <f>D11+D18+D25</f>
        <v>2472552.59</v>
      </c>
      <c r="E28" s="170">
        <f>E11+E18+E25</f>
        <v>1978482.2000000002</v>
      </c>
      <c r="F28" s="170">
        <f>F11+F18+F25</f>
        <v>0</v>
      </c>
      <c r="G28" s="121"/>
      <c r="H28" s="121"/>
      <c r="I28" s="121"/>
      <c r="J28" s="121"/>
      <c r="K28" s="121"/>
      <c r="L28" s="121"/>
      <c r="M28" s="121"/>
      <c r="N28" s="121"/>
      <c r="O28" s="121"/>
      <c r="P28" s="121"/>
      <c r="Q28" s="121"/>
    </row>
    <row r="30" spans="1:18" s="23" customFormat="1" ht="32.25" hidden="1" thickBot="1" x14ac:dyDescent="0.3">
      <c r="A30" s="78"/>
      <c r="B30" s="78"/>
      <c r="C30" s="79" t="s">
        <v>190</v>
      </c>
      <c r="D30" s="79" t="s">
        <v>191</v>
      </c>
      <c r="E30" s="79"/>
      <c r="F30" s="79"/>
      <c r="G30" s="78"/>
      <c r="H30" s="78"/>
      <c r="I30" s="78"/>
      <c r="J30" s="78"/>
      <c r="K30" s="78"/>
      <c r="L30" s="78"/>
      <c r="M30" s="78"/>
      <c r="N30" s="78"/>
      <c r="O30" s="78"/>
      <c r="P30" s="78"/>
      <c r="Q30" s="80"/>
      <c r="R30" s="77"/>
    </row>
    <row r="31" spans="1:18" ht="16.5" hidden="1" thickBot="1" x14ac:dyDescent="0.3">
      <c r="A31" s="145" t="s">
        <v>128</v>
      </c>
      <c r="B31" s="146"/>
      <c r="C31" s="147"/>
      <c r="D31" s="147"/>
      <c r="E31" s="147"/>
      <c r="F31" s="147"/>
      <c r="G31" s="148"/>
      <c r="H31" s="148"/>
      <c r="I31" s="148"/>
      <c r="J31" s="148"/>
      <c r="K31" s="148"/>
      <c r="L31" s="148"/>
      <c r="M31" s="148"/>
      <c r="N31" s="148"/>
      <c r="O31" s="148"/>
      <c r="P31" s="148"/>
      <c r="Q31" s="148"/>
      <c r="R31" s="145"/>
    </row>
    <row r="32" spans="1:18" hidden="1" x14ac:dyDescent="0.25"/>
    <row r="33" spans="1:19" ht="15.75" thickBot="1" x14ac:dyDescent="0.3"/>
    <row r="34" spans="1:19" x14ac:dyDescent="0.25">
      <c r="B34" s="4"/>
      <c r="C34" s="5"/>
      <c r="D34" s="6"/>
      <c r="E34" s="33"/>
    </row>
    <row r="35" spans="1:19" x14ac:dyDescent="0.25">
      <c r="B35" s="7" t="s">
        <v>63</v>
      </c>
      <c r="C35" s="8">
        <f>D28/C28</f>
        <v>0.57049671029521198</v>
      </c>
      <c r="D35" s="9"/>
      <c r="E35" s="33"/>
    </row>
    <row r="36" spans="1:19" x14ac:dyDescent="0.25">
      <c r="B36" s="7" t="s">
        <v>64</v>
      </c>
      <c r="C36" s="22">
        <f>F28/D28</f>
        <v>0</v>
      </c>
      <c r="D36" s="9" t="s">
        <v>153</v>
      </c>
      <c r="E36" s="33"/>
    </row>
    <row r="37" spans="1:19" x14ac:dyDescent="0.25">
      <c r="B37" s="7" t="s">
        <v>66</v>
      </c>
      <c r="C37" s="8">
        <f>D20/D28</f>
        <v>0.14763053432161782</v>
      </c>
      <c r="D37" s="9"/>
      <c r="E37" s="33"/>
      <c r="F37" s="1" t="s">
        <v>192</v>
      </c>
    </row>
    <row r="38" spans="1:19" x14ac:dyDescent="0.25">
      <c r="B38" s="7" t="s">
        <v>193</v>
      </c>
      <c r="C38" s="156" t="s">
        <v>25</v>
      </c>
      <c r="D38" s="9"/>
      <c r="E38" s="33"/>
    </row>
    <row r="39" spans="1:19" ht="15.75" thickBot="1" x14ac:dyDescent="0.3">
      <c r="B39" s="10"/>
      <c r="C39" s="11"/>
      <c r="D39" s="12"/>
      <c r="E39" s="33"/>
    </row>
    <row r="41" spans="1:19" s="2" customFormat="1" ht="60" x14ac:dyDescent="0.25">
      <c r="A41" s="14" t="s">
        <v>68</v>
      </c>
      <c r="B41" s="14" t="s">
        <v>3</v>
      </c>
      <c r="C41" s="14" t="s">
        <v>69</v>
      </c>
      <c r="D41" s="14" t="s">
        <v>70</v>
      </c>
      <c r="E41" s="14"/>
      <c r="F41" s="14" t="s">
        <v>71</v>
      </c>
      <c r="G41" s="14" t="s">
        <v>72</v>
      </c>
      <c r="R41" s="1"/>
      <c r="S41" s="1"/>
    </row>
    <row r="42" spans="1:19" x14ac:dyDescent="0.25">
      <c r="A42" s="244" t="s">
        <v>22</v>
      </c>
      <c r="B42" s="15">
        <f>C18+C11</f>
        <v>3877319.35</v>
      </c>
      <c r="C42" s="15">
        <f>D18+D11</f>
        <v>2066785.29</v>
      </c>
      <c r="D42" s="16">
        <f>C42/B42</f>
        <v>0.53304489608265049</v>
      </c>
      <c r="E42" s="16"/>
      <c r="F42" s="16">
        <f>B42/$B$44</f>
        <v>0.89462118738553087</v>
      </c>
      <c r="G42" s="16">
        <f>C42/$C$44</f>
        <v>0.83589133689568973</v>
      </c>
    </row>
    <row r="43" spans="1:19" x14ac:dyDescent="0.25">
      <c r="A43" s="245" t="s">
        <v>194</v>
      </c>
      <c r="B43" s="15">
        <f>C25</f>
        <v>456715.44</v>
      </c>
      <c r="C43" s="15">
        <f>D25</f>
        <v>405767.30000000005</v>
      </c>
      <c r="D43" s="16">
        <f>C43/B43</f>
        <v>0.88844664415111529</v>
      </c>
      <c r="E43" s="16"/>
      <c r="F43" s="16">
        <f>B43/$B$44</f>
        <v>0.10537881261446912</v>
      </c>
      <c r="G43" s="16">
        <f>C43/$C$44</f>
        <v>0.16410866310431038</v>
      </c>
    </row>
    <row r="44" spans="1:19" x14ac:dyDescent="0.25">
      <c r="A44" s="17"/>
      <c r="B44" s="18">
        <f>SUM(B42:B43)</f>
        <v>4334034.79</v>
      </c>
      <c r="C44" s="18">
        <f>SUM(C42:C43)</f>
        <v>2472552.59</v>
      </c>
      <c r="D44" s="19">
        <f>C44/B44</f>
        <v>0.57049671029521198</v>
      </c>
      <c r="E44" s="19"/>
      <c r="F44" s="19">
        <f>SUM(F42:F43)</f>
        <v>1</v>
      </c>
      <c r="G44" s="19">
        <f>SUM(G42:G43)</f>
        <v>1</v>
      </c>
    </row>
  </sheetData>
  <customSheetViews>
    <customSheetView guid="{94B3A4FE-72AA-482F-B8FA-1CCA2BB7CF1A}" showPageBreaks="1" fitToPage="1" printArea="1" topLeftCell="A2">
      <selection activeCell="H21" sqref="H21"/>
      <pageMargins left="0" right="0" top="0" bottom="0" header="0" footer="0"/>
      <printOptions horizontalCentered="1"/>
      <pageSetup paperSize="5" scale="63" orientation="landscape" r:id="rId1"/>
      <headerFooter>
        <oddHeader>&amp;C&amp;Z&amp;F</oddHeader>
      </headerFooter>
    </customSheetView>
    <customSheetView guid="{D6BA1E63-924C-47BE-9055-D8E8929EA3B0}" fitToPage="1">
      <selection activeCell="C9" sqref="C9"/>
      <pageMargins left="0" right="0" top="0" bottom="0" header="0" footer="0"/>
      <printOptions horizontalCentered="1"/>
      <pageSetup paperSize="5" scale="63" orientation="landscape" r:id="rId2"/>
      <headerFooter>
        <oddHeader>&amp;C&amp;Z&amp;F</oddHeader>
      </headerFooter>
    </customSheetView>
    <customSheetView guid="{85EA0921-5222-4866-B2A4-73FDFFB38684}" showPageBreaks="1" fitToPage="1" printArea="1">
      <selection activeCell="C9" sqref="C9"/>
      <pageMargins left="0" right="0" top="0" bottom="0" header="0" footer="0"/>
      <printOptions horizontalCentered="1"/>
      <pageSetup paperSize="5" scale="63" orientation="landscape" r:id="rId3"/>
      <headerFooter>
        <oddHeader>&amp;C&amp;Z&amp;F</oddHeader>
      </headerFooter>
    </customSheetView>
  </customSheetViews>
  <mergeCells count="19">
    <mergeCell ref="A1:Q1"/>
    <mergeCell ref="G18:Q18"/>
    <mergeCell ref="G5:Q5"/>
    <mergeCell ref="G6:Q6"/>
    <mergeCell ref="G10:Q10"/>
    <mergeCell ref="G17:Q17"/>
    <mergeCell ref="G15:Q15"/>
    <mergeCell ref="G8:Q8"/>
    <mergeCell ref="G9:Q9"/>
    <mergeCell ref="G11:Q11"/>
    <mergeCell ref="G13:Q13"/>
    <mergeCell ref="G23:Q23"/>
    <mergeCell ref="G24:Q24"/>
    <mergeCell ref="G21:Q21"/>
    <mergeCell ref="G7:Q7"/>
    <mergeCell ref="G16:Q16"/>
    <mergeCell ref="G22:Q22"/>
    <mergeCell ref="G20:Q20"/>
    <mergeCell ref="G14:Q14"/>
  </mergeCells>
  <printOptions horizontalCentered="1"/>
  <pageMargins left="0.7" right="0.7" top="0.75" bottom="0.75" header="0.3" footer="0.3"/>
  <pageSetup paperSize="17" scale="57" orientation="landscape" r:id="rId4"/>
  <headerFooter>
    <oddHeader>&amp;C&amp;Z&amp;F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B4:Z67"/>
  <sheetViews>
    <sheetView topLeftCell="A12" workbookViewId="0"/>
  </sheetViews>
  <sheetFormatPr defaultColWidth="8.85546875" defaultRowHeight="15" x14ac:dyDescent="0.25"/>
  <cols>
    <col min="2" max="2" width="26.140625" bestFit="1" customWidth="1"/>
    <col min="3" max="3" width="17.28515625" bestFit="1" customWidth="1"/>
    <col min="4" max="4" width="32.42578125" bestFit="1" customWidth="1"/>
    <col min="25" max="25" width="27.42578125" customWidth="1"/>
    <col min="26" max="26" width="18" customWidth="1"/>
  </cols>
  <sheetData>
    <row r="4" spans="25:26" ht="15.75" thickBot="1" x14ac:dyDescent="0.3"/>
    <row r="5" spans="25:26" ht="31.5" customHeight="1" thickBot="1" x14ac:dyDescent="0.3">
      <c r="Y5" s="311" t="s">
        <v>195</v>
      </c>
      <c r="Z5" s="312" t="s">
        <v>196</v>
      </c>
    </row>
    <row r="6" spans="25:26" ht="15.75" thickBot="1" x14ac:dyDescent="0.3">
      <c r="Y6" s="308" t="s">
        <v>110</v>
      </c>
      <c r="Z6" s="307">
        <v>815907</v>
      </c>
    </row>
    <row r="7" spans="25:26" ht="15.75" thickBot="1" x14ac:dyDescent="0.3">
      <c r="Y7" s="308" t="s">
        <v>111</v>
      </c>
      <c r="Z7" s="307">
        <v>519709</v>
      </c>
    </row>
    <row r="8" spans="25:26" ht="15.75" thickBot="1" x14ac:dyDescent="0.3">
      <c r="Y8" s="308" t="s">
        <v>112</v>
      </c>
      <c r="Z8" s="307">
        <v>5000</v>
      </c>
    </row>
    <row r="9" spans="25:26" ht="15.75" thickBot="1" x14ac:dyDescent="0.3">
      <c r="Y9" s="308" t="s">
        <v>113</v>
      </c>
      <c r="Z9" s="307">
        <v>37685</v>
      </c>
    </row>
    <row r="10" spans="25:26" ht="15.75" thickBot="1" x14ac:dyDescent="0.3">
      <c r="Y10" s="308" t="s">
        <v>114</v>
      </c>
      <c r="Z10" s="307">
        <v>1302931</v>
      </c>
    </row>
    <row r="11" spans="25:26" ht="15.75" thickBot="1" x14ac:dyDescent="0.3">
      <c r="Y11" s="308" t="s">
        <v>69</v>
      </c>
      <c r="Z11" s="307">
        <v>889207</v>
      </c>
    </row>
    <row r="12" spans="25:26" ht="15.75" thickBot="1" x14ac:dyDescent="0.3">
      <c r="Y12" s="309" t="s">
        <v>115</v>
      </c>
      <c r="Z12" s="306">
        <v>451409</v>
      </c>
    </row>
    <row r="24" spans="25:25" ht="15.75" thickBot="1" x14ac:dyDescent="0.3">
      <c r="Y24" s="305"/>
    </row>
    <row r="56" spans="2:4" ht="15.75" thickBot="1" x14ac:dyDescent="0.3"/>
    <row r="57" spans="2:4" ht="24" thickBot="1" x14ac:dyDescent="0.4">
      <c r="B57" s="311" t="s">
        <v>197</v>
      </c>
      <c r="C57" s="312" t="s">
        <v>198</v>
      </c>
      <c r="D57" s="310" t="s">
        <v>199</v>
      </c>
    </row>
    <row r="58" spans="2:4" ht="15.75" thickBot="1" x14ac:dyDescent="0.3">
      <c r="B58" s="308" t="s">
        <v>200</v>
      </c>
      <c r="C58" s="307">
        <v>41410</v>
      </c>
      <c r="D58" s="313">
        <v>16502</v>
      </c>
    </row>
    <row r="59" spans="2:4" ht="15.75" thickBot="1" x14ac:dyDescent="0.3">
      <c r="B59" s="308" t="s">
        <v>201</v>
      </c>
      <c r="C59" s="307">
        <v>425139</v>
      </c>
      <c r="D59" s="313">
        <v>141232</v>
      </c>
    </row>
    <row r="60" spans="2:4" ht="15.75" thickBot="1" x14ac:dyDescent="0.3">
      <c r="B60" s="308" t="s">
        <v>202</v>
      </c>
      <c r="C60" s="307">
        <v>50000</v>
      </c>
      <c r="D60" s="313">
        <v>50000</v>
      </c>
    </row>
    <row r="61" spans="2:4" ht="15.75" thickBot="1" x14ac:dyDescent="0.3">
      <c r="B61" s="308" t="s">
        <v>203</v>
      </c>
      <c r="C61" s="307">
        <v>25800</v>
      </c>
      <c r="D61" s="313">
        <v>0</v>
      </c>
    </row>
    <row r="62" spans="2:4" ht="15.75" thickBot="1" x14ac:dyDescent="0.3">
      <c r="B62" s="308" t="s">
        <v>204</v>
      </c>
      <c r="C62" s="307">
        <v>36805</v>
      </c>
      <c r="D62" s="313">
        <v>0</v>
      </c>
    </row>
    <row r="63" spans="2:4" ht="15.75" thickBot="1" x14ac:dyDescent="0.3">
      <c r="B63" s="308" t="s">
        <v>205</v>
      </c>
      <c r="C63" s="307">
        <v>61600</v>
      </c>
      <c r="D63" s="313">
        <v>0</v>
      </c>
    </row>
    <row r="64" spans="2:4" ht="15.75" thickBot="1" x14ac:dyDescent="0.3">
      <c r="B64" s="309" t="s">
        <v>206</v>
      </c>
      <c r="C64" s="306">
        <v>30206</v>
      </c>
      <c r="D64" s="313">
        <v>30206</v>
      </c>
    </row>
    <row r="65" spans="2:4" ht="15.75" thickBot="1" x14ac:dyDescent="0.3">
      <c r="B65" s="308" t="s">
        <v>40</v>
      </c>
      <c r="C65" s="313">
        <v>49999</v>
      </c>
      <c r="D65" s="313">
        <v>49999</v>
      </c>
    </row>
    <row r="66" spans="2:4" ht="15.75" thickBot="1" x14ac:dyDescent="0.3">
      <c r="B66" s="308" t="s">
        <v>207</v>
      </c>
      <c r="C66" s="314">
        <v>350000</v>
      </c>
      <c r="D66" s="313">
        <v>350000</v>
      </c>
    </row>
    <row r="67" spans="2:4" ht="15.75" thickBot="1" x14ac:dyDescent="0.3">
      <c r="B67" s="308" t="s">
        <v>208</v>
      </c>
      <c r="C67" s="313">
        <v>89551</v>
      </c>
      <c r="D67" s="313">
        <v>89551</v>
      </c>
    </row>
  </sheetData>
  <pageMargins left="0.7" right="0.7" top="0.75" bottom="0.75" header="0.3" footer="0.3"/>
  <pageSetup paperSize="17"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
  <sheetViews>
    <sheetView topLeftCell="D1" zoomScaleNormal="100" workbookViewId="0">
      <selection activeCell="Z32" sqref="Z32"/>
    </sheetView>
  </sheetViews>
  <sheetFormatPr defaultColWidth="8.85546875" defaultRowHeight="15" x14ac:dyDescent="0.25"/>
  <sheetData/>
  <customSheetViews>
    <customSheetView guid="{94B3A4FE-72AA-482F-B8FA-1CCA2BB7CF1A}" showPageBreaks="1" fitToPage="1" view="pageLayout">
      <selection activeCell="D32" sqref="D32"/>
      <pageMargins left="0" right="0" top="0" bottom="0" header="0" footer="0"/>
      <pageSetup fitToHeight="0" orientation="landscape" r:id="rId1"/>
      <headerFooter>
        <oddHeader>&amp;C&amp;Z&amp;F</oddHeader>
      </headerFooter>
    </customSheetView>
    <customSheetView guid="{D6BA1E63-924C-47BE-9055-D8E8929EA3B0}" showPageBreaks="1" fitToPage="1" view="pageLayout">
      <selection activeCell="D32" sqref="D32"/>
      <pageMargins left="0" right="0" top="0" bottom="0" header="0" footer="0"/>
      <pageSetup fitToHeight="0" orientation="landscape" r:id="rId2"/>
      <headerFooter>
        <oddHeader>&amp;C&amp;Z&amp;F</oddHeader>
      </headerFooter>
    </customSheetView>
    <customSheetView guid="{85EA0921-5222-4866-B2A4-73FDFFB38684}" showPageBreaks="1" fitToPage="1" view="pageLayout">
      <selection activeCell="D32" sqref="D32"/>
      <pageMargins left="0" right="0" top="0" bottom="0" header="0" footer="0"/>
      <pageSetup fitToHeight="0" orientation="landscape" r:id="rId3"/>
      <headerFooter>
        <oddHeader>&amp;C&amp;Z&amp;F</oddHeader>
      </headerFooter>
    </customSheetView>
  </customSheetViews>
  <pageMargins left="0.7" right="0.7" top="0.75" bottom="0.75" header="0.3" footer="0.3"/>
  <pageSetup scale="98" fitToHeight="0" orientation="landscape" r:id="rId4"/>
  <headerFooter>
    <oddFooter>&amp;L&amp;9&amp;Z&amp;F</oddFooter>
  </headerFooter>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C9"/>
  <sheetViews>
    <sheetView zoomScaleNormal="100" workbookViewId="0">
      <selection activeCell="C17" sqref="C17"/>
    </sheetView>
  </sheetViews>
  <sheetFormatPr defaultColWidth="8.85546875" defaultRowHeight="15" x14ac:dyDescent="0.25"/>
  <cols>
    <col min="1" max="1" width="23.28515625" customWidth="1"/>
    <col min="2" max="2" width="38.42578125" style="21" customWidth="1"/>
    <col min="3" max="3" width="12.7109375" customWidth="1"/>
  </cols>
  <sheetData>
    <row r="1" spans="1:3" x14ac:dyDescent="0.25">
      <c r="A1" s="183"/>
      <c r="B1" s="184" t="s">
        <v>209</v>
      </c>
      <c r="C1" s="191"/>
    </row>
    <row r="2" spans="1:3" x14ac:dyDescent="0.25">
      <c r="A2" s="184" t="s">
        <v>68</v>
      </c>
      <c r="B2" s="183" t="s">
        <v>210</v>
      </c>
      <c r="C2" s="185" t="s">
        <v>211</v>
      </c>
    </row>
    <row r="3" spans="1:3" x14ac:dyDescent="0.25">
      <c r="A3" s="183" t="s">
        <v>75</v>
      </c>
      <c r="B3" s="188">
        <v>7.002839545021752E-3</v>
      </c>
      <c r="C3" s="192">
        <v>9388.1200000000008</v>
      </c>
    </row>
    <row r="4" spans="1:3" x14ac:dyDescent="0.25">
      <c r="A4" s="186" t="s">
        <v>73</v>
      </c>
      <c r="B4" s="189">
        <v>0.91183970344144283</v>
      </c>
      <c r="C4" s="193">
        <v>1222427.06</v>
      </c>
    </row>
    <row r="5" spans="1:3" x14ac:dyDescent="0.25">
      <c r="A5" s="186" t="s">
        <v>74</v>
      </c>
      <c r="B5" s="189">
        <v>8.115745701353537E-2</v>
      </c>
      <c r="C5" s="193">
        <v>108801</v>
      </c>
    </row>
    <row r="6" spans="1:3" x14ac:dyDescent="0.25">
      <c r="A6" s="187" t="s">
        <v>55</v>
      </c>
      <c r="B6" s="190">
        <v>1</v>
      </c>
      <c r="C6" s="194">
        <v>1340616.1800000002</v>
      </c>
    </row>
    <row r="7" spans="1:3" x14ac:dyDescent="0.25">
      <c r="B7"/>
    </row>
    <row r="8" spans="1:3" x14ac:dyDescent="0.25">
      <c r="B8"/>
    </row>
    <row r="9" spans="1:3" x14ac:dyDescent="0.25">
      <c r="B9"/>
    </row>
  </sheetData>
  <customSheetViews>
    <customSheetView guid="{94B3A4FE-72AA-482F-B8FA-1CCA2BB7CF1A}" showPageBreaks="1" fitToPage="1" view="pageLayout">
      <selection sqref="A1:Q76"/>
      <pageMargins left="0" right="0" top="0" bottom="0" header="0" footer="0"/>
      <pageSetup scale="61" fitToHeight="0" orientation="landscape" r:id="rId2"/>
      <headerFooter>
        <oddHeader>&amp;C&amp;Z&amp;F</oddHeader>
      </headerFooter>
    </customSheetView>
    <customSheetView guid="{D6BA1E63-924C-47BE-9055-D8E8929EA3B0}" showPageBreaks="1" fitToPage="1" view="pageLayout" topLeftCell="A4">
      <selection sqref="A1:Q76"/>
      <pageMargins left="0" right="0" top="0" bottom="0" header="0" footer="0"/>
      <pageSetup scale="62" fitToHeight="0" orientation="landscape" r:id="rId3"/>
      <headerFooter>
        <oddHeader>&amp;C&amp;Z&amp;F</oddHeader>
      </headerFooter>
    </customSheetView>
    <customSheetView guid="{85EA0921-5222-4866-B2A4-73FDFFB38684}" showPageBreaks="1" fitToPage="1" view="pageLayout" topLeftCell="A4">
      <selection sqref="A1:Q76"/>
      <pageMargins left="0" right="0" top="0" bottom="0" header="0" footer="0"/>
      <pageSetup scale="61" fitToHeight="0" orientation="landscape" r:id="rId4"/>
      <headerFooter>
        <oddHeader>&amp;C&amp;Z&amp;F</oddHeader>
      </headerFooter>
    </customSheetView>
  </customSheetViews>
  <pageMargins left="0.7" right="0.7" top="0.75" bottom="0.75" header="0.3" footer="0.3"/>
  <pageSetup scale="64" fitToHeight="0" orientation="landscape" r:id="rId5"/>
  <headerFooter>
    <oddFooter>&amp;L&amp;9&amp;Z&amp;F</oddFooter>
  </headerFooter>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2:D3"/>
  <sheetViews>
    <sheetView workbookViewId="0">
      <selection activeCell="S11" sqref="S11"/>
    </sheetView>
  </sheetViews>
  <sheetFormatPr defaultColWidth="8.85546875" defaultRowHeight="15" x14ac:dyDescent="0.25"/>
  <cols>
    <col min="1" max="1" width="13.7109375" customWidth="1"/>
    <col min="2" max="2" width="13" customWidth="1"/>
    <col min="3" max="3" width="13.42578125" customWidth="1"/>
    <col min="4" max="4" width="18" customWidth="1"/>
  </cols>
  <sheetData>
    <row r="2" spans="1:4" ht="74.25" customHeight="1" thickBot="1" x14ac:dyDescent="0.3">
      <c r="A2" s="227" t="s">
        <v>8</v>
      </c>
      <c r="B2" s="227" t="s">
        <v>9</v>
      </c>
      <c r="C2" s="227" t="s">
        <v>10</v>
      </c>
      <c r="D2" s="227" t="s">
        <v>11</v>
      </c>
    </row>
    <row r="3" spans="1:4" x14ac:dyDescent="0.25">
      <c r="A3" s="304">
        <f>CDBG!H23+'CDBG-CV'!H15</f>
        <v>242</v>
      </c>
      <c r="B3" s="304">
        <f>CDBG!I23+'CDBG-CV'!I15</f>
        <v>115</v>
      </c>
      <c r="C3" s="304">
        <f>CDBG!J23+'CDBG-CV'!J15</f>
        <v>79</v>
      </c>
      <c r="D3" s="304">
        <f>CDBG!K23+'CDBG-CV'!K15</f>
        <v>23</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F2"/>
  <sheetViews>
    <sheetView tabSelected="1" workbookViewId="0">
      <selection activeCell="T12" sqref="T12"/>
    </sheetView>
  </sheetViews>
  <sheetFormatPr defaultColWidth="8.85546875" defaultRowHeight="15" x14ac:dyDescent="0.25"/>
  <cols>
    <col min="3" max="3" width="12" customWidth="1"/>
  </cols>
  <sheetData>
    <row r="1" spans="1:6" ht="63.75" thickBot="1" x14ac:dyDescent="0.3">
      <c r="A1" s="227" t="s">
        <v>12</v>
      </c>
      <c r="B1" s="227" t="s">
        <v>13</v>
      </c>
      <c r="C1" s="227" t="s">
        <v>14</v>
      </c>
      <c r="D1" s="229" t="s">
        <v>15</v>
      </c>
      <c r="E1" s="227" t="s">
        <v>16</v>
      </c>
      <c r="F1" s="227" t="s">
        <v>17</v>
      </c>
    </row>
    <row r="2" spans="1:6" ht="15.75" x14ac:dyDescent="0.25">
      <c r="A2" s="212">
        <f>CDBG!L38+'CDBG-CV'!L15</f>
        <v>396</v>
      </c>
      <c r="B2" s="212">
        <f>CDBG!M38+'CDBG-CV'!M15</f>
        <v>181</v>
      </c>
      <c r="C2" s="212">
        <f>CDBG!N38+'CDBG-CV'!N15</f>
        <v>63</v>
      </c>
      <c r="D2" s="212">
        <f>CDBG!O38+'CDBG-CV'!O15</f>
        <v>55</v>
      </c>
      <c r="E2" s="212">
        <f>CDBG!P38+'CDBG-CV'!P15</f>
        <v>59</v>
      </c>
      <c r="F2" s="212">
        <f>CDBG!Q38+'CDBG-CV'!Q15</f>
        <v>217</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CDBG</vt:lpstr>
      <vt:lpstr>CDBG-CV</vt:lpstr>
      <vt:lpstr>HOME</vt:lpstr>
      <vt:lpstr>AHF</vt:lpstr>
      <vt:lpstr>ALL Graphs One Page</vt:lpstr>
      <vt:lpstr>CDBG Avail-Comm-Exp</vt:lpstr>
      <vt:lpstr>CDBG-Budget-Total</vt:lpstr>
      <vt:lpstr>LMI Benefit Combined</vt:lpstr>
      <vt:lpstr>Beneficiary Data Combined</vt:lpstr>
      <vt:lpstr>CDBG-Expenditures</vt:lpstr>
      <vt:lpstr>AHF!Print_Area</vt:lpstr>
      <vt:lpstr>CDBG!Print_Area</vt:lpstr>
      <vt:lpstr>'CDBG Avail-Comm-Exp'!Print_Area</vt:lpstr>
      <vt:lpstr>'CDBG-Budget-Total'!Print_Area</vt:lpstr>
      <vt:lpstr>'CDBG-CV'!Print_Area</vt:lpstr>
      <vt:lpstr>HOME!Print_Area</vt:lpstr>
      <vt:lpstr>CDBG!Print_Titles</vt:lpstr>
      <vt:lpstr>'CDBG-CV'!Print_Titles</vt:lpstr>
      <vt:lpstr>HOME!Print_Titles</vt:lpstr>
    </vt:vector>
  </TitlesOfParts>
  <Manager/>
  <Company>City of Longmont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Kyndra Daniels</dc:creator>
  <cp:keywords/>
  <dc:description/>
  <cp:lastModifiedBy>Scott Yoho</cp:lastModifiedBy>
  <cp:revision/>
  <dcterms:created xsi:type="dcterms:W3CDTF">2015-03-19T19:36:53Z</dcterms:created>
  <dcterms:modified xsi:type="dcterms:W3CDTF">2023-04-07T21:56:34Z</dcterms:modified>
  <cp:category/>
  <cp:contentStatus/>
</cp:coreProperties>
</file>